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essika\Tournois\2018-2019\Provinciaux\Développement\Gadbois\"/>
    </mc:Choice>
  </mc:AlternateContent>
  <bookViews>
    <workbookView xWindow="0" yWindow="0" windowWidth="20490" windowHeight="7755"/>
  </bookViews>
  <sheets>
    <sheet name="liste au 17.01 16h20 traitee" sheetId="13" r:id="rId1"/>
    <sheet name="cas problemes" sheetId="14" r:id="rId2"/>
  </sheets>
  <definedNames>
    <definedName name="_xlnm._FilterDatabase" localSheetId="1" hidden="1">'cas problemes'!$A$3:$N$24</definedName>
    <definedName name="_xlnm._FilterDatabase" localSheetId="0" hidden="1">'liste au 17.01 16h20 traitee'!$A$1:$N$696</definedName>
  </definedNames>
  <calcPr calcId="152511"/>
</workbook>
</file>

<file path=xl/calcChain.xml><?xml version="1.0" encoding="utf-8"?>
<calcChain xmlns="http://schemas.openxmlformats.org/spreadsheetml/2006/main">
  <c r="K27" i="14" l="1"/>
  <c r="J27" i="14"/>
  <c r="F624" i="13" l="1"/>
  <c r="K3" i="14"/>
  <c r="J3" i="14"/>
  <c r="G497" i="13"/>
  <c r="L446" i="13"/>
  <c r="K446" i="13"/>
  <c r="I446" i="13"/>
  <c r="G446" i="13"/>
  <c r="D446" i="13"/>
  <c r="C446" i="13"/>
  <c r="L36" i="13"/>
  <c r="K36" i="13"/>
  <c r="I36" i="13"/>
  <c r="H36" i="13"/>
  <c r="G36" i="13"/>
  <c r="F36" i="13"/>
  <c r="D36" i="13"/>
  <c r="C36" i="13"/>
  <c r="B36" i="13"/>
  <c r="A36" i="13"/>
  <c r="L559" i="13"/>
  <c r="K559" i="13"/>
  <c r="I559" i="13"/>
  <c r="H559" i="13"/>
  <c r="G559" i="13"/>
  <c r="F559" i="13"/>
  <c r="D559" i="13"/>
  <c r="C559" i="13"/>
  <c r="B559" i="13"/>
  <c r="A559" i="13"/>
  <c r="L6" i="13"/>
  <c r="K6" i="13"/>
  <c r="I6" i="13"/>
  <c r="H6" i="13"/>
  <c r="G6" i="13"/>
  <c r="F6" i="13"/>
  <c r="D6" i="13"/>
  <c r="C6" i="13"/>
  <c r="B6" i="13"/>
  <c r="A6" i="13"/>
  <c r="L192" i="13"/>
  <c r="K192" i="13"/>
  <c r="I192" i="13"/>
  <c r="H192" i="13"/>
  <c r="G192" i="13"/>
  <c r="F192" i="13"/>
  <c r="D192" i="13"/>
  <c r="C192" i="13"/>
  <c r="B192" i="13"/>
  <c r="A192" i="13"/>
  <c r="L600" i="13"/>
  <c r="K600" i="13"/>
  <c r="I600" i="13"/>
  <c r="H600" i="13"/>
  <c r="G600" i="13"/>
  <c r="F600" i="13"/>
  <c r="D600" i="13"/>
  <c r="C600" i="13"/>
  <c r="B600" i="13"/>
  <c r="A600" i="13"/>
  <c r="L77" i="13"/>
  <c r="K77" i="13"/>
  <c r="I77" i="13"/>
  <c r="H77" i="13"/>
  <c r="G77" i="13"/>
  <c r="F77" i="13"/>
  <c r="D77" i="13"/>
  <c r="C77" i="13"/>
  <c r="B77" i="13"/>
  <c r="A77" i="13"/>
  <c r="L499" i="13"/>
  <c r="K499" i="13"/>
  <c r="I499" i="13"/>
  <c r="H499" i="13"/>
  <c r="G499" i="13"/>
  <c r="F499" i="13"/>
  <c r="D499" i="13"/>
  <c r="C499" i="13"/>
  <c r="B499" i="13"/>
  <c r="A499" i="13"/>
  <c r="L273" i="13"/>
  <c r="K273" i="13"/>
  <c r="I273" i="13"/>
  <c r="H273" i="13"/>
  <c r="G273" i="13"/>
  <c r="F273" i="13"/>
  <c r="D273" i="13"/>
  <c r="C273" i="13"/>
  <c r="B273" i="13"/>
  <c r="A273" i="13"/>
  <c r="D665" i="13"/>
  <c r="G694" i="13"/>
  <c r="D694" i="13"/>
  <c r="D558" i="13"/>
  <c r="D656" i="13"/>
  <c r="D571" i="13"/>
  <c r="G373" i="13"/>
  <c r="D373" i="13"/>
  <c r="G352" i="13"/>
  <c r="D352" i="13"/>
  <c r="G362" i="13"/>
  <c r="D362" i="13"/>
  <c r="G239" i="13"/>
  <c r="D239" i="13"/>
  <c r="G238" i="13"/>
  <c r="D238" i="13"/>
  <c r="G257" i="13"/>
  <c r="D257" i="13"/>
  <c r="G248" i="13"/>
  <c r="D248" i="13"/>
  <c r="G68" i="13"/>
  <c r="D68" i="13"/>
  <c r="G24" i="13"/>
  <c r="D24" i="13"/>
  <c r="G87" i="13"/>
  <c r="D87" i="13"/>
  <c r="G136" i="13"/>
  <c r="D136" i="13"/>
  <c r="G153" i="13"/>
  <c r="D153" i="13"/>
  <c r="G114" i="13"/>
  <c r="D114" i="13"/>
  <c r="G135" i="13"/>
  <c r="D135" i="13"/>
  <c r="G57" i="13"/>
  <c r="D57" i="13"/>
  <c r="G67" i="13"/>
  <c r="D67" i="13"/>
  <c r="G119" i="13"/>
  <c r="D119" i="13"/>
  <c r="G120" i="13"/>
  <c r="D120" i="13"/>
  <c r="D511" i="13"/>
  <c r="D565" i="13"/>
  <c r="D597" i="13"/>
  <c r="D592" i="13"/>
  <c r="D498" i="13"/>
  <c r="D341" i="13"/>
  <c r="D506" i="13"/>
  <c r="D405" i="13"/>
  <c r="D452" i="13"/>
  <c r="D433" i="13"/>
  <c r="D574" i="13"/>
  <c r="D561" i="13"/>
  <c r="D588" i="13"/>
  <c r="D475" i="13"/>
  <c r="D580" i="13"/>
  <c r="D598" i="13"/>
  <c r="D343" i="13"/>
  <c r="D577" i="13"/>
  <c r="D441" i="13"/>
  <c r="D483" i="13"/>
  <c r="D560" i="13"/>
  <c r="D427" i="13"/>
  <c r="D531" i="13"/>
  <c r="D455" i="13"/>
  <c r="D553" i="13"/>
  <c r="D562" i="13"/>
  <c r="D602" i="13"/>
  <c r="D608" i="13"/>
  <c r="D614" i="13"/>
  <c r="D613" i="13"/>
  <c r="D594" i="13"/>
  <c r="D510" i="13"/>
  <c r="D601" i="13"/>
  <c r="D526" i="13"/>
  <c r="D546" i="13"/>
  <c r="D539" i="13"/>
  <c r="D609" i="13"/>
  <c r="D606" i="13"/>
  <c r="D612" i="13"/>
  <c r="D568" i="13"/>
  <c r="D611" i="13"/>
  <c r="D615" i="13"/>
  <c r="D512" i="13"/>
  <c r="D610" i="13"/>
  <c r="D540" i="13"/>
  <c r="D573" i="13"/>
  <c r="D605" i="13"/>
  <c r="D534" i="13"/>
  <c r="D603" i="13"/>
  <c r="D552" i="13"/>
  <c r="D604" i="13"/>
  <c r="D607" i="13"/>
  <c r="L55" i="13"/>
  <c r="K55" i="13"/>
  <c r="I55" i="13"/>
  <c r="H55" i="13"/>
  <c r="G55" i="13"/>
  <c r="F55" i="13"/>
  <c r="D55" i="13"/>
  <c r="C55" i="13"/>
  <c r="B55" i="13"/>
  <c r="A55" i="13"/>
  <c r="L351" i="13"/>
  <c r="K351" i="13"/>
  <c r="I351" i="13"/>
  <c r="H351" i="13"/>
  <c r="G351" i="13"/>
  <c r="F351" i="13"/>
  <c r="D351" i="13"/>
  <c r="C351" i="13"/>
  <c r="B351" i="13"/>
  <c r="A351" i="13"/>
  <c r="L623" i="13"/>
  <c r="K623" i="13"/>
  <c r="I623" i="13"/>
  <c r="H623" i="13"/>
  <c r="G623" i="13"/>
  <c r="F623" i="13"/>
  <c r="D623" i="13"/>
  <c r="C623" i="13"/>
  <c r="B623" i="13"/>
  <c r="A623" i="13"/>
  <c r="L236" i="13"/>
  <c r="K236" i="13"/>
  <c r="I236" i="13"/>
  <c r="H236" i="13"/>
  <c r="G236" i="13"/>
  <c r="F236" i="13"/>
  <c r="D236" i="13"/>
  <c r="C236" i="13"/>
  <c r="B236" i="13"/>
  <c r="A236" i="13"/>
  <c r="L137" i="13"/>
  <c r="K137" i="13"/>
  <c r="I137" i="13"/>
  <c r="H137" i="13"/>
  <c r="G137" i="13"/>
  <c r="F137" i="13"/>
  <c r="D137" i="13"/>
  <c r="C137" i="13"/>
  <c r="B137" i="13"/>
  <c r="A137" i="13"/>
  <c r="K683" i="13"/>
  <c r="I683" i="13"/>
  <c r="H683" i="13"/>
  <c r="G683" i="13"/>
  <c r="F683" i="13"/>
  <c r="D683" i="13"/>
  <c r="C683" i="13"/>
  <c r="B683" i="13"/>
  <c r="A683" i="13"/>
  <c r="L488" i="13"/>
  <c r="K488" i="13"/>
  <c r="I488" i="13"/>
  <c r="H488" i="13"/>
  <c r="G488" i="13"/>
  <c r="F488" i="13"/>
  <c r="D488" i="13"/>
  <c r="C488" i="13"/>
  <c r="B488" i="13"/>
  <c r="A488" i="13"/>
  <c r="L636" i="13"/>
  <c r="G636" i="13"/>
  <c r="D636" i="13"/>
  <c r="C636" i="13"/>
  <c r="L633" i="13"/>
  <c r="G633" i="13"/>
  <c r="D633" i="13"/>
  <c r="C633" i="13"/>
  <c r="L130" i="13"/>
  <c r="K130" i="13"/>
  <c r="I130" i="13"/>
  <c r="H130" i="13"/>
  <c r="G130" i="13"/>
  <c r="F130" i="13"/>
  <c r="D130" i="13"/>
  <c r="C130" i="13"/>
  <c r="B130" i="13"/>
  <c r="A130" i="13"/>
  <c r="L651" i="13"/>
  <c r="K651" i="13"/>
  <c r="I651" i="13"/>
  <c r="H651" i="13"/>
  <c r="G651" i="13"/>
  <c r="F651" i="13"/>
  <c r="D651" i="13"/>
  <c r="C651" i="13"/>
  <c r="B651" i="13"/>
  <c r="A651" i="13"/>
  <c r="L631" i="13"/>
  <c r="K631" i="13"/>
  <c r="I631" i="13"/>
  <c r="H631" i="13"/>
  <c r="G631" i="13"/>
  <c r="F631" i="13"/>
  <c r="D631" i="13"/>
  <c r="C631" i="13"/>
  <c r="B631" i="13"/>
  <c r="A631" i="13"/>
  <c r="L30" i="13"/>
  <c r="K30" i="13"/>
  <c r="I30" i="13"/>
  <c r="H30" i="13"/>
  <c r="G30" i="13"/>
  <c r="F30" i="13"/>
  <c r="D30" i="13"/>
  <c r="C30" i="13"/>
  <c r="B30" i="13"/>
  <c r="A30" i="13"/>
  <c r="L212" i="13"/>
  <c r="K212" i="13"/>
  <c r="I212" i="13"/>
  <c r="H212" i="13"/>
  <c r="G212" i="13"/>
  <c r="F212" i="13"/>
  <c r="D212" i="13"/>
  <c r="C212" i="13"/>
  <c r="B212" i="13"/>
  <c r="A212" i="13"/>
  <c r="L548" i="13"/>
  <c r="K548" i="13"/>
  <c r="I548" i="13"/>
  <c r="H548" i="13"/>
  <c r="G548" i="13"/>
  <c r="F548" i="13"/>
  <c r="D548" i="13"/>
  <c r="C548" i="13"/>
  <c r="B548" i="13"/>
  <c r="A548" i="13"/>
  <c r="L334" i="13"/>
  <c r="K334" i="13"/>
  <c r="I334" i="13"/>
  <c r="H334" i="13"/>
  <c r="G334" i="13"/>
  <c r="F334" i="13"/>
  <c r="D334" i="13"/>
  <c r="C334" i="13"/>
  <c r="B334" i="13"/>
  <c r="A334" i="13"/>
  <c r="K679" i="13"/>
  <c r="I679" i="13"/>
  <c r="H679" i="13"/>
  <c r="G679" i="13"/>
  <c r="F679" i="13"/>
  <c r="D679" i="13"/>
  <c r="C679" i="13"/>
  <c r="B679" i="13"/>
  <c r="A679" i="13"/>
  <c r="K468" i="13"/>
  <c r="I468" i="13"/>
  <c r="H468" i="13"/>
  <c r="G468" i="13"/>
  <c r="F468" i="13"/>
  <c r="D468" i="13"/>
  <c r="C468" i="13"/>
  <c r="B468" i="13"/>
  <c r="A468" i="13"/>
  <c r="L222" i="13"/>
  <c r="K222" i="13"/>
  <c r="I222" i="13"/>
  <c r="H222" i="13"/>
  <c r="G222" i="13"/>
  <c r="F222" i="13"/>
  <c r="D222" i="13"/>
  <c r="C222" i="13"/>
  <c r="B222" i="13"/>
  <c r="A222" i="13"/>
  <c r="L35" i="13"/>
  <c r="K35" i="13"/>
  <c r="I35" i="13"/>
  <c r="H35" i="13"/>
  <c r="G35" i="13"/>
  <c r="F35" i="13"/>
  <c r="D35" i="13"/>
  <c r="C35" i="13"/>
  <c r="B35" i="13"/>
  <c r="A35" i="13"/>
  <c r="L207" i="13"/>
  <c r="K207" i="13"/>
  <c r="I207" i="13"/>
  <c r="H207" i="13"/>
  <c r="G207" i="13"/>
  <c r="F207" i="13"/>
  <c r="D207" i="13"/>
  <c r="C207" i="13"/>
  <c r="B207" i="13"/>
  <c r="A207" i="13"/>
  <c r="L264" i="13"/>
  <c r="K264" i="13"/>
  <c r="I264" i="13"/>
  <c r="H264" i="13"/>
  <c r="G264" i="13"/>
  <c r="F264" i="13"/>
  <c r="D264" i="13"/>
  <c r="C264" i="13"/>
  <c r="B264" i="13"/>
  <c r="A264" i="13"/>
  <c r="L585" i="13"/>
  <c r="K585" i="13"/>
  <c r="I585" i="13"/>
  <c r="H585" i="13"/>
  <c r="G585" i="13"/>
  <c r="F585" i="13"/>
  <c r="D585" i="13"/>
  <c r="C585" i="13"/>
  <c r="B585" i="13"/>
  <c r="A585" i="13"/>
  <c r="L200" i="13"/>
  <c r="K200" i="13"/>
  <c r="I200" i="13"/>
  <c r="H200" i="13"/>
  <c r="G200" i="13"/>
  <c r="F200" i="13"/>
  <c r="D200" i="13"/>
  <c r="C200" i="13"/>
  <c r="B200" i="13"/>
  <c r="A200" i="13"/>
  <c r="L643" i="13"/>
  <c r="K643" i="13"/>
  <c r="I643" i="13"/>
  <c r="H643" i="13"/>
  <c r="G643" i="13"/>
  <c r="F643" i="13"/>
  <c r="D643" i="13"/>
  <c r="C643" i="13"/>
  <c r="B643" i="13"/>
  <c r="A643" i="13"/>
  <c r="L389" i="13"/>
  <c r="K389" i="13"/>
  <c r="I389" i="13"/>
  <c r="H389" i="13"/>
  <c r="G389" i="13"/>
  <c r="F389" i="13"/>
  <c r="D389" i="13"/>
  <c r="C389" i="13"/>
  <c r="B389" i="13"/>
  <c r="A389" i="13"/>
  <c r="L149" i="13"/>
  <c r="K149" i="13"/>
  <c r="I149" i="13"/>
  <c r="H149" i="13"/>
  <c r="G149" i="13"/>
  <c r="F149" i="13"/>
  <c r="D149" i="13"/>
  <c r="C149" i="13"/>
  <c r="B149" i="13"/>
  <c r="A149" i="13"/>
  <c r="L2" i="13"/>
  <c r="K2" i="13"/>
  <c r="I2" i="13"/>
  <c r="H2" i="13"/>
  <c r="G2" i="13"/>
  <c r="F2" i="13"/>
  <c r="D2" i="13"/>
  <c r="C2" i="13"/>
  <c r="B2" i="13"/>
  <c r="A2" i="13"/>
  <c r="L46" i="13"/>
  <c r="K46" i="13"/>
  <c r="I46" i="13"/>
  <c r="H46" i="13"/>
  <c r="G46" i="13"/>
  <c r="F46" i="13"/>
  <c r="D46" i="13"/>
  <c r="C46" i="13"/>
  <c r="B46" i="13"/>
  <c r="A46" i="13"/>
  <c r="L411" i="13"/>
  <c r="K411" i="13"/>
  <c r="I411" i="13"/>
  <c r="H411" i="13"/>
  <c r="G411" i="13"/>
  <c r="F411" i="13"/>
  <c r="D411" i="13"/>
  <c r="C411" i="13"/>
  <c r="B411" i="13"/>
  <c r="A411" i="13"/>
  <c r="L223" i="13"/>
  <c r="K223" i="13"/>
  <c r="I223" i="13"/>
  <c r="H223" i="13"/>
  <c r="G223" i="13"/>
  <c r="F223" i="13"/>
  <c r="D223" i="13"/>
  <c r="C223" i="13"/>
  <c r="B223" i="13"/>
  <c r="A223" i="13"/>
  <c r="L240" i="13"/>
  <c r="K240" i="13"/>
  <c r="I240" i="13"/>
  <c r="H240" i="13"/>
  <c r="G240" i="13"/>
  <c r="F240" i="13"/>
  <c r="D240" i="13"/>
  <c r="C240" i="13"/>
  <c r="B240" i="13"/>
  <c r="A240" i="13"/>
  <c r="K692" i="13"/>
  <c r="I692" i="13"/>
  <c r="H692" i="13"/>
  <c r="G692" i="13"/>
  <c r="F692" i="13"/>
  <c r="D692" i="13"/>
  <c r="C692" i="13"/>
  <c r="B692" i="13"/>
  <c r="A692" i="13"/>
  <c r="L290" i="13"/>
  <c r="K290" i="13"/>
  <c r="I290" i="13"/>
  <c r="H290" i="13"/>
  <c r="G290" i="13"/>
  <c r="F290" i="13"/>
  <c r="D290" i="13"/>
  <c r="C290" i="13"/>
  <c r="B290" i="13"/>
  <c r="A290" i="13"/>
  <c r="L581" i="13"/>
  <c r="K581" i="13"/>
  <c r="I581" i="13"/>
  <c r="H581" i="13"/>
  <c r="G581" i="13"/>
  <c r="F581" i="13"/>
  <c r="D581" i="13"/>
  <c r="C581" i="13"/>
  <c r="B581" i="13"/>
  <c r="A581" i="13"/>
  <c r="L89" i="13"/>
  <c r="K89" i="13"/>
  <c r="I89" i="13"/>
  <c r="H89" i="13"/>
  <c r="G89" i="13"/>
  <c r="F89" i="13"/>
  <c r="D89" i="13"/>
  <c r="C89" i="13"/>
  <c r="B89" i="13"/>
  <c r="A89" i="13"/>
  <c r="L630" i="13"/>
  <c r="K630" i="13"/>
  <c r="I630" i="13"/>
  <c r="H630" i="13"/>
  <c r="G630" i="13"/>
  <c r="F630" i="13"/>
  <c r="D630" i="13"/>
  <c r="C630" i="13"/>
  <c r="B630" i="13"/>
  <c r="A630" i="13"/>
  <c r="L616" i="13"/>
  <c r="K616" i="13"/>
  <c r="I616" i="13"/>
  <c r="H616" i="13"/>
  <c r="G616" i="13"/>
  <c r="F616" i="13"/>
  <c r="D616" i="13"/>
  <c r="C616" i="13"/>
  <c r="B616" i="13"/>
  <c r="A616" i="13"/>
  <c r="L33" i="13"/>
  <c r="K33" i="13"/>
  <c r="I33" i="13"/>
  <c r="H33" i="13"/>
  <c r="G33" i="13"/>
  <c r="F33" i="13"/>
  <c r="D33" i="13"/>
  <c r="C33" i="13"/>
  <c r="B33" i="13"/>
  <c r="A33" i="13"/>
  <c r="L655" i="13"/>
  <c r="K655" i="13"/>
  <c r="I655" i="13"/>
  <c r="H655" i="13"/>
  <c r="G655" i="13"/>
  <c r="F655" i="13"/>
  <c r="D655" i="13"/>
  <c r="C655" i="13"/>
  <c r="B655" i="13"/>
  <c r="A655" i="13"/>
  <c r="L111" i="13"/>
  <c r="K111" i="13"/>
  <c r="I111" i="13"/>
  <c r="H111" i="13"/>
  <c r="G111" i="13"/>
  <c r="F111" i="13"/>
  <c r="D111" i="13"/>
  <c r="C111" i="13"/>
  <c r="B111" i="13"/>
  <c r="A111" i="13"/>
  <c r="L466" i="13"/>
  <c r="K466" i="13"/>
  <c r="I466" i="13"/>
  <c r="H466" i="13"/>
  <c r="G466" i="13"/>
  <c r="F466" i="13"/>
  <c r="D466" i="13"/>
  <c r="C466" i="13"/>
  <c r="B466" i="13"/>
  <c r="A466" i="13"/>
  <c r="L429" i="13"/>
  <c r="K429" i="13"/>
  <c r="I429" i="13"/>
  <c r="H429" i="13"/>
  <c r="G429" i="13"/>
  <c r="F429" i="13"/>
  <c r="D429" i="13"/>
  <c r="C429" i="13"/>
  <c r="B429" i="13"/>
  <c r="A429" i="13"/>
  <c r="L224" i="13"/>
  <c r="K224" i="13"/>
  <c r="I224" i="13"/>
  <c r="H224" i="13"/>
  <c r="G224" i="13"/>
  <c r="F224" i="13"/>
  <c r="D224" i="13"/>
  <c r="C224" i="13"/>
  <c r="B224" i="13"/>
  <c r="A224" i="13"/>
  <c r="L320" i="13"/>
  <c r="K320" i="13"/>
  <c r="I320" i="13"/>
  <c r="H320" i="13"/>
  <c r="G320" i="13"/>
  <c r="F320" i="13"/>
  <c r="D320" i="13"/>
  <c r="C320" i="13"/>
  <c r="B320" i="13"/>
  <c r="A320" i="13"/>
  <c r="L671" i="13"/>
  <c r="K671" i="13"/>
  <c r="I671" i="13"/>
  <c r="H671" i="13"/>
  <c r="G671" i="13"/>
  <c r="F671" i="13"/>
  <c r="D671" i="13"/>
  <c r="C671" i="13"/>
  <c r="B671" i="13"/>
  <c r="A671" i="13"/>
  <c r="L501" i="13"/>
  <c r="K501" i="13"/>
  <c r="I501" i="13"/>
  <c r="H501" i="13"/>
  <c r="G501" i="13"/>
  <c r="F501" i="13"/>
  <c r="D501" i="13"/>
  <c r="C501" i="13"/>
  <c r="B501" i="13"/>
  <c r="A501" i="13"/>
  <c r="L247" i="13"/>
  <c r="K247" i="13"/>
  <c r="I247" i="13"/>
  <c r="H247" i="13"/>
  <c r="G247" i="13"/>
  <c r="F247" i="13"/>
  <c r="D247" i="13"/>
  <c r="C247" i="13"/>
  <c r="B247" i="13"/>
  <c r="A247" i="13"/>
  <c r="L99" i="13"/>
  <c r="K99" i="13"/>
  <c r="I99" i="13"/>
  <c r="H99" i="13"/>
  <c r="G99" i="13"/>
  <c r="F99" i="13"/>
  <c r="D99" i="13"/>
  <c r="C99" i="13"/>
  <c r="B99" i="13"/>
  <c r="A99" i="13"/>
  <c r="L359" i="13"/>
  <c r="K359" i="13"/>
  <c r="I359" i="13"/>
  <c r="H359" i="13"/>
  <c r="G359" i="13"/>
  <c r="F359" i="13"/>
  <c r="D359" i="13"/>
  <c r="C359" i="13"/>
  <c r="B359" i="13"/>
  <c r="A359" i="13"/>
  <c r="L43" i="13"/>
  <c r="K43" i="13"/>
  <c r="I43" i="13"/>
  <c r="H43" i="13"/>
  <c r="G43" i="13"/>
  <c r="F43" i="13"/>
  <c r="D43" i="13"/>
  <c r="C43" i="13"/>
  <c r="B43" i="13"/>
  <c r="A43" i="13"/>
  <c r="L317" i="13"/>
  <c r="K317" i="13"/>
  <c r="I317" i="13"/>
  <c r="H317" i="13"/>
  <c r="G317" i="13"/>
  <c r="F317" i="13"/>
  <c r="D317" i="13"/>
  <c r="C317" i="13"/>
  <c r="B317" i="13"/>
  <c r="A317" i="13"/>
  <c r="K677" i="13"/>
  <c r="I677" i="13"/>
  <c r="H677" i="13"/>
  <c r="G677" i="13"/>
  <c r="F677" i="13"/>
  <c r="D677" i="13"/>
  <c r="C677" i="13"/>
  <c r="B677" i="13"/>
  <c r="A677" i="13"/>
  <c r="L19" i="13"/>
  <c r="K19" i="13"/>
  <c r="I19" i="13"/>
  <c r="H19" i="13"/>
  <c r="G19" i="13"/>
  <c r="F19" i="13"/>
  <c r="D19" i="13"/>
  <c r="C19" i="13"/>
  <c r="B19" i="13"/>
  <c r="A19" i="13"/>
  <c r="L49" i="13"/>
  <c r="K49" i="13"/>
  <c r="I49" i="13"/>
  <c r="H49" i="13"/>
  <c r="G49" i="13"/>
  <c r="F49" i="13"/>
  <c r="D49" i="13"/>
  <c r="C49" i="13"/>
  <c r="B49" i="13"/>
  <c r="A49" i="13"/>
  <c r="L382" i="13"/>
  <c r="K382" i="13"/>
  <c r="I382" i="13"/>
  <c r="H382" i="13"/>
  <c r="G382" i="13"/>
  <c r="F382" i="13"/>
  <c r="D382" i="13"/>
  <c r="C382" i="13"/>
  <c r="B382" i="13"/>
  <c r="A382" i="13"/>
  <c r="L618" i="13"/>
  <c r="K618" i="13"/>
  <c r="I618" i="13"/>
  <c r="H618" i="13"/>
  <c r="G618" i="13"/>
  <c r="F618" i="13"/>
  <c r="D618" i="13"/>
  <c r="C618" i="13"/>
  <c r="B618" i="13"/>
  <c r="A618" i="13"/>
  <c r="L258" i="13"/>
  <c r="K258" i="13"/>
  <c r="I258" i="13"/>
  <c r="H258" i="13"/>
  <c r="G258" i="13"/>
  <c r="F258" i="13"/>
  <c r="D258" i="13"/>
  <c r="C258" i="13"/>
  <c r="B258" i="13"/>
  <c r="A258" i="13"/>
  <c r="L496" i="13"/>
  <c r="K496" i="13"/>
  <c r="I496" i="13"/>
  <c r="H496" i="13"/>
  <c r="G496" i="13"/>
  <c r="F496" i="13"/>
  <c r="D496" i="13"/>
  <c r="C496" i="13"/>
  <c r="B496" i="13"/>
  <c r="A496" i="13"/>
  <c r="L392" i="13"/>
  <c r="K392" i="13"/>
  <c r="I392" i="13"/>
  <c r="H392" i="13"/>
  <c r="G392" i="13"/>
  <c r="F392" i="13"/>
  <c r="D392" i="13"/>
  <c r="C392" i="13"/>
  <c r="B392" i="13"/>
  <c r="A392" i="13"/>
  <c r="L628" i="13"/>
  <c r="K628" i="13"/>
  <c r="I628" i="13"/>
  <c r="H628" i="13"/>
  <c r="G628" i="13"/>
  <c r="F628" i="13"/>
  <c r="D628" i="13"/>
  <c r="C628" i="13"/>
  <c r="B628" i="13"/>
  <c r="A628" i="13"/>
  <c r="L500" i="13"/>
  <c r="K500" i="13"/>
  <c r="I500" i="13"/>
  <c r="H500" i="13"/>
  <c r="G500" i="13"/>
  <c r="F500" i="13"/>
  <c r="D500" i="13"/>
  <c r="C500" i="13"/>
  <c r="B500" i="13"/>
  <c r="A500" i="13"/>
  <c r="K174" i="13"/>
  <c r="I174" i="13"/>
  <c r="H174" i="13"/>
  <c r="G174" i="13"/>
  <c r="F174" i="13"/>
  <c r="D174" i="13"/>
  <c r="C174" i="13"/>
  <c r="B174" i="13"/>
  <c r="A174" i="13"/>
  <c r="L234" i="13"/>
  <c r="K234" i="13"/>
  <c r="I234" i="13"/>
  <c r="H234" i="13"/>
  <c r="G234" i="13"/>
  <c r="F234" i="13"/>
  <c r="D234" i="13"/>
  <c r="C234" i="13"/>
  <c r="B234" i="13"/>
  <c r="A234" i="13"/>
  <c r="L640" i="13"/>
  <c r="K640" i="13"/>
  <c r="I640" i="13"/>
  <c r="H640" i="13"/>
  <c r="G640" i="13"/>
  <c r="F640" i="13"/>
  <c r="D640" i="13"/>
  <c r="C640" i="13"/>
  <c r="B640" i="13"/>
  <c r="A640" i="13"/>
  <c r="L418" i="13"/>
  <c r="K418" i="13"/>
  <c r="I418" i="13"/>
  <c r="H418" i="13"/>
  <c r="G418" i="13"/>
  <c r="F418" i="13"/>
  <c r="D418" i="13"/>
  <c r="C418" i="13"/>
  <c r="B418" i="13"/>
  <c r="A418" i="13"/>
  <c r="I516" i="13"/>
  <c r="H516" i="13"/>
  <c r="G516" i="13"/>
  <c r="F516" i="13"/>
  <c r="D516" i="13"/>
  <c r="C516" i="13"/>
  <c r="B516" i="13"/>
  <c r="A516" i="13"/>
  <c r="L285" i="13"/>
  <c r="K285" i="13"/>
  <c r="I285" i="13"/>
  <c r="H285" i="13"/>
  <c r="G285" i="13"/>
  <c r="F285" i="13"/>
  <c r="D285" i="13"/>
  <c r="C285" i="13"/>
  <c r="B285" i="13"/>
  <c r="A285" i="13"/>
  <c r="K680" i="13"/>
  <c r="I680" i="13"/>
  <c r="H680" i="13"/>
  <c r="G680" i="13"/>
  <c r="F680" i="13"/>
  <c r="D680" i="13"/>
  <c r="C680" i="13"/>
  <c r="B680" i="13"/>
  <c r="A680" i="13"/>
  <c r="L675" i="13"/>
  <c r="K675" i="13"/>
  <c r="I675" i="13"/>
  <c r="H675" i="13"/>
  <c r="G675" i="13"/>
  <c r="F675" i="13"/>
  <c r="D675" i="13"/>
  <c r="C675" i="13"/>
  <c r="B675" i="13"/>
  <c r="A675" i="13"/>
  <c r="L251" i="13"/>
  <c r="K251" i="13"/>
  <c r="I251" i="13"/>
  <c r="H251" i="13"/>
  <c r="G251" i="13"/>
  <c r="F251" i="13"/>
  <c r="D251" i="13"/>
  <c r="C251" i="13"/>
  <c r="B251" i="13"/>
  <c r="A251" i="13"/>
  <c r="L624" i="13"/>
  <c r="K624" i="13"/>
  <c r="I624" i="13"/>
  <c r="H624" i="13"/>
  <c r="G624" i="13"/>
  <c r="D624" i="13"/>
  <c r="C624" i="13"/>
  <c r="B624" i="13"/>
  <c r="A624" i="13"/>
  <c r="L541" i="13"/>
  <c r="K541" i="13"/>
  <c r="I541" i="13"/>
  <c r="H541" i="13"/>
  <c r="G541" i="13"/>
  <c r="F541" i="13"/>
  <c r="D541" i="13"/>
  <c r="C541" i="13"/>
  <c r="B541" i="13"/>
  <c r="A541" i="13"/>
  <c r="L401" i="13"/>
  <c r="K401" i="13"/>
  <c r="I401" i="13"/>
  <c r="H401" i="13"/>
  <c r="G401" i="13"/>
  <c r="F401" i="13"/>
  <c r="D401" i="13"/>
  <c r="C401" i="13"/>
  <c r="B401" i="13"/>
  <c r="A401" i="13"/>
  <c r="L45" i="13"/>
  <c r="K45" i="13"/>
  <c r="I45" i="13"/>
  <c r="H45" i="13"/>
  <c r="G45" i="13"/>
  <c r="F45" i="13"/>
  <c r="D45" i="13"/>
  <c r="C45" i="13"/>
  <c r="B45" i="13"/>
  <c r="A45" i="13"/>
  <c r="L667" i="13"/>
  <c r="K667" i="13"/>
  <c r="I667" i="13"/>
  <c r="H667" i="13"/>
  <c r="G667" i="13"/>
  <c r="F667" i="13"/>
  <c r="D667" i="13"/>
  <c r="C667" i="13"/>
  <c r="B667" i="13"/>
  <c r="A667" i="13"/>
  <c r="L249" i="13"/>
  <c r="K249" i="13"/>
  <c r="I249" i="13"/>
  <c r="H249" i="13"/>
  <c r="G249" i="13"/>
  <c r="F249" i="13"/>
  <c r="D249" i="13"/>
  <c r="C249" i="13"/>
  <c r="B249" i="13"/>
  <c r="A249" i="13"/>
  <c r="L176" i="13"/>
  <c r="K176" i="13"/>
  <c r="I176" i="13"/>
  <c r="H176" i="13"/>
  <c r="G176" i="13"/>
  <c r="F176" i="13"/>
  <c r="D176" i="13"/>
  <c r="C176" i="13"/>
  <c r="B176" i="13"/>
  <c r="A176" i="13"/>
  <c r="L271" i="13"/>
  <c r="K271" i="13"/>
  <c r="I271" i="13"/>
  <c r="H271" i="13"/>
  <c r="G271" i="13"/>
  <c r="F271" i="13"/>
  <c r="D271" i="13"/>
  <c r="C271" i="13"/>
  <c r="B271" i="13"/>
  <c r="A271" i="13"/>
  <c r="L478" i="13"/>
  <c r="K478" i="13"/>
  <c r="I478" i="13"/>
  <c r="H478" i="13"/>
  <c r="G478" i="13"/>
  <c r="F478" i="13"/>
  <c r="D478" i="13"/>
  <c r="C478" i="13"/>
  <c r="B478" i="13"/>
  <c r="A478" i="13"/>
  <c r="L626" i="13"/>
  <c r="K626" i="13"/>
  <c r="I626" i="13"/>
  <c r="H626" i="13"/>
  <c r="G626" i="13"/>
  <c r="F626" i="13"/>
  <c r="D626" i="13"/>
  <c r="C626" i="13"/>
  <c r="B626" i="13"/>
  <c r="A626" i="13"/>
  <c r="L484" i="13"/>
  <c r="K484" i="13"/>
  <c r="I484" i="13"/>
  <c r="H484" i="13"/>
  <c r="G484" i="13"/>
  <c r="F484" i="13"/>
  <c r="D484" i="13"/>
  <c r="C484" i="13"/>
  <c r="B484" i="13"/>
  <c r="A484" i="13"/>
  <c r="L542" i="13"/>
  <c r="K542" i="13"/>
  <c r="I542" i="13"/>
  <c r="H542" i="13"/>
  <c r="G542" i="13"/>
  <c r="F542" i="13"/>
  <c r="D542" i="13"/>
  <c r="C542" i="13"/>
  <c r="B542" i="13"/>
  <c r="A542" i="13"/>
  <c r="L121" i="13"/>
  <c r="K121" i="13"/>
  <c r="I121" i="13"/>
  <c r="H121" i="13"/>
  <c r="G121" i="13"/>
  <c r="F121" i="13"/>
  <c r="D121" i="13"/>
  <c r="C121" i="13"/>
  <c r="B121" i="13"/>
  <c r="A121" i="13"/>
  <c r="K684" i="13"/>
  <c r="I684" i="13"/>
  <c r="H684" i="13"/>
  <c r="G684" i="13"/>
  <c r="F684" i="13"/>
  <c r="D684" i="13"/>
  <c r="C684" i="13"/>
  <c r="B684" i="13"/>
  <c r="A684" i="13"/>
  <c r="K386" i="13"/>
  <c r="I386" i="13"/>
  <c r="H386" i="13"/>
  <c r="G386" i="13"/>
  <c r="F386" i="13"/>
  <c r="D386" i="13"/>
  <c r="C386" i="13"/>
  <c r="B386" i="13"/>
  <c r="A386" i="13"/>
  <c r="L250" i="13"/>
  <c r="K250" i="13"/>
  <c r="I250" i="13"/>
  <c r="H250" i="13"/>
  <c r="G250" i="13"/>
  <c r="F250" i="13"/>
  <c r="D250" i="13"/>
  <c r="C250" i="13"/>
  <c r="B250" i="13"/>
  <c r="A250" i="13"/>
  <c r="L229" i="13"/>
  <c r="K229" i="13"/>
  <c r="I229" i="13"/>
  <c r="H229" i="13"/>
  <c r="G229" i="13"/>
  <c r="F229" i="13"/>
  <c r="D229" i="13"/>
  <c r="C229" i="13"/>
  <c r="B229" i="13"/>
  <c r="A229" i="13"/>
  <c r="L82" i="13"/>
  <c r="K82" i="13"/>
  <c r="I82" i="13"/>
  <c r="H82" i="13"/>
  <c r="G82" i="13"/>
  <c r="F82" i="13"/>
  <c r="D82" i="13"/>
  <c r="C82" i="13"/>
  <c r="B82" i="13"/>
  <c r="A82" i="13"/>
  <c r="L657" i="13"/>
  <c r="K657" i="13"/>
  <c r="I657" i="13"/>
  <c r="H657" i="13"/>
  <c r="G657" i="13"/>
  <c r="F657" i="13"/>
  <c r="D657" i="13"/>
  <c r="C657" i="13"/>
  <c r="B657" i="13"/>
  <c r="A657" i="13"/>
  <c r="L141" i="13"/>
  <c r="K141" i="13"/>
  <c r="I141" i="13"/>
  <c r="H141" i="13"/>
  <c r="G141" i="13"/>
  <c r="F141" i="13"/>
  <c r="D141" i="13"/>
  <c r="C141" i="13"/>
  <c r="B141" i="13"/>
  <c r="A141" i="13"/>
  <c r="L435" i="13"/>
  <c r="K435" i="13"/>
  <c r="I435" i="13"/>
  <c r="H435" i="13"/>
  <c r="G435" i="13"/>
  <c r="F435" i="13"/>
  <c r="D435" i="13"/>
  <c r="C435" i="13"/>
  <c r="B435" i="13"/>
  <c r="A435" i="13"/>
  <c r="K695" i="13"/>
  <c r="H695" i="13"/>
  <c r="G695" i="13"/>
  <c r="F695" i="13"/>
  <c r="D695" i="13"/>
  <c r="C695" i="13"/>
  <c r="B695" i="13"/>
  <c r="A695" i="13"/>
  <c r="L307" i="13"/>
  <c r="K307" i="13"/>
  <c r="I307" i="13"/>
  <c r="H307" i="13"/>
  <c r="G307" i="13"/>
  <c r="F307" i="13"/>
  <c r="D307" i="13"/>
  <c r="C307" i="13"/>
  <c r="B307" i="13"/>
  <c r="A307" i="13"/>
  <c r="L647" i="13"/>
  <c r="K647" i="13"/>
  <c r="I647" i="13"/>
  <c r="H647" i="13"/>
  <c r="G647" i="13"/>
  <c r="F647" i="13"/>
  <c r="D647" i="13"/>
  <c r="C647" i="13"/>
  <c r="B647" i="13"/>
  <c r="A647" i="13"/>
  <c r="L620" i="13"/>
  <c r="K620" i="13"/>
  <c r="I620" i="13"/>
  <c r="H620" i="13"/>
  <c r="G620" i="13"/>
  <c r="F620" i="13"/>
  <c r="D620" i="13"/>
  <c r="C620" i="13"/>
  <c r="B620" i="13"/>
  <c r="A620" i="13"/>
  <c r="L650" i="13"/>
  <c r="K650" i="13"/>
  <c r="I650" i="13"/>
  <c r="H650" i="13"/>
  <c r="G650" i="13"/>
  <c r="F650" i="13"/>
  <c r="D650" i="13"/>
  <c r="C650" i="13"/>
  <c r="B650" i="13"/>
  <c r="A650" i="13"/>
  <c r="L649" i="13"/>
  <c r="K649" i="13"/>
  <c r="I649" i="13"/>
  <c r="H649" i="13"/>
  <c r="G649" i="13"/>
  <c r="F649" i="13"/>
  <c r="D649" i="13"/>
  <c r="C649" i="13"/>
  <c r="B649" i="13"/>
  <c r="A649" i="13"/>
  <c r="L648" i="13"/>
  <c r="K648" i="13"/>
  <c r="I648" i="13"/>
  <c r="H648" i="13"/>
  <c r="G648" i="13"/>
  <c r="F648" i="13"/>
  <c r="D648" i="13"/>
  <c r="C648" i="13"/>
  <c r="B648" i="13"/>
  <c r="A648" i="13"/>
  <c r="L663" i="13"/>
  <c r="K663" i="13"/>
  <c r="I663" i="13"/>
  <c r="H663" i="13"/>
  <c r="G663" i="13"/>
  <c r="F663" i="13"/>
  <c r="D663" i="13"/>
  <c r="C663" i="13"/>
  <c r="B663" i="13"/>
  <c r="A663" i="13"/>
  <c r="L672" i="13"/>
  <c r="K672" i="13"/>
  <c r="I672" i="13"/>
  <c r="H672" i="13"/>
  <c r="G672" i="13"/>
  <c r="F672" i="13"/>
  <c r="D672" i="13"/>
  <c r="C672" i="13"/>
  <c r="B672" i="13"/>
  <c r="A672" i="13"/>
  <c r="L621" i="13"/>
  <c r="K621" i="13"/>
  <c r="I621" i="13"/>
  <c r="H621" i="13"/>
  <c r="G621" i="13"/>
  <c r="F621" i="13"/>
  <c r="D621" i="13"/>
  <c r="C621" i="13"/>
  <c r="B621" i="13"/>
  <c r="A621" i="13"/>
  <c r="L622" i="13"/>
  <c r="K622" i="13"/>
  <c r="I622" i="13"/>
  <c r="H622" i="13"/>
  <c r="G622" i="13"/>
  <c r="F622" i="13"/>
  <c r="D622" i="13"/>
  <c r="C622" i="13"/>
  <c r="B622" i="13"/>
  <c r="A622" i="13"/>
  <c r="K619" i="13"/>
  <c r="I619" i="13"/>
  <c r="H619" i="13"/>
  <c r="G619" i="13"/>
  <c r="F619" i="13"/>
  <c r="D619" i="13"/>
  <c r="C619" i="13"/>
  <c r="B619" i="13"/>
  <c r="A619" i="13"/>
  <c r="L421" i="13"/>
  <c r="K421" i="13"/>
  <c r="I421" i="13"/>
  <c r="H421" i="13"/>
  <c r="G421" i="13"/>
  <c r="F421" i="13"/>
  <c r="D421" i="13"/>
  <c r="C421" i="13"/>
  <c r="B421" i="13"/>
  <c r="A421" i="13"/>
  <c r="L152" i="13"/>
  <c r="K152" i="13"/>
  <c r="I152" i="13"/>
  <c r="H152" i="13"/>
  <c r="G152" i="13"/>
  <c r="F152" i="13"/>
  <c r="D152" i="13"/>
  <c r="C152" i="13"/>
  <c r="B152" i="13"/>
  <c r="A152" i="13"/>
  <c r="K687" i="13"/>
  <c r="I687" i="13"/>
  <c r="H687" i="13"/>
  <c r="G687" i="13"/>
  <c r="F687" i="13"/>
  <c r="D687" i="13"/>
  <c r="C687" i="13"/>
  <c r="B687" i="13"/>
  <c r="A687" i="13"/>
  <c r="L646" i="13"/>
  <c r="K646" i="13"/>
  <c r="I646" i="13"/>
  <c r="H646" i="13"/>
  <c r="G646" i="13"/>
  <c r="F646" i="13"/>
  <c r="D646" i="13"/>
  <c r="C646" i="13"/>
  <c r="B646" i="13"/>
  <c r="A646" i="13"/>
  <c r="L255" i="13"/>
  <c r="K255" i="13"/>
  <c r="I255" i="13"/>
  <c r="H255" i="13"/>
  <c r="G255" i="13"/>
  <c r="F255" i="13"/>
  <c r="D255" i="13"/>
  <c r="C255" i="13"/>
  <c r="B255" i="13"/>
  <c r="A255" i="13"/>
  <c r="L186" i="13"/>
  <c r="K186" i="13"/>
  <c r="I186" i="13"/>
  <c r="H186" i="13"/>
  <c r="G186" i="13"/>
  <c r="F186" i="13"/>
  <c r="D186" i="13"/>
  <c r="C186" i="13"/>
  <c r="B186" i="13"/>
  <c r="A186" i="13"/>
  <c r="L191" i="13"/>
  <c r="K191" i="13"/>
  <c r="I191" i="13"/>
  <c r="H191" i="13"/>
  <c r="G191" i="13"/>
  <c r="F191" i="13"/>
  <c r="D191" i="13"/>
  <c r="C191" i="13"/>
  <c r="B191" i="13"/>
  <c r="A191" i="13"/>
  <c r="L674" i="13"/>
  <c r="K674" i="13"/>
  <c r="I674" i="13"/>
  <c r="H674" i="13"/>
  <c r="G674" i="13"/>
  <c r="F674" i="13"/>
  <c r="D674" i="13"/>
  <c r="C674" i="13"/>
  <c r="B674" i="13"/>
  <c r="A674" i="13"/>
  <c r="L280" i="13"/>
  <c r="K280" i="13"/>
  <c r="I280" i="13"/>
  <c r="H280" i="13"/>
  <c r="G280" i="13"/>
  <c r="F280" i="13"/>
  <c r="D280" i="13"/>
  <c r="C280" i="13"/>
  <c r="B280" i="13"/>
  <c r="A280" i="13"/>
  <c r="L494" i="13"/>
  <c r="K494" i="13"/>
  <c r="I494" i="13"/>
  <c r="H494" i="13"/>
  <c r="G494" i="13"/>
  <c r="F494" i="13"/>
  <c r="D494" i="13"/>
  <c r="C494" i="13"/>
  <c r="B494" i="13"/>
  <c r="A494" i="13"/>
  <c r="L195" i="13"/>
  <c r="K195" i="13"/>
  <c r="I195" i="13"/>
  <c r="H195" i="13"/>
  <c r="G195" i="13"/>
  <c r="F195" i="13"/>
  <c r="D195" i="13"/>
  <c r="C195" i="13"/>
  <c r="B195" i="13"/>
  <c r="A195" i="13"/>
  <c r="L493" i="13"/>
  <c r="K493" i="13"/>
  <c r="I493" i="13"/>
  <c r="H493" i="13"/>
  <c r="G493" i="13"/>
  <c r="F493" i="13"/>
  <c r="D493" i="13"/>
  <c r="C493" i="13"/>
  <c r="B493" i="13"/>
  <c r="A493" i="13"/>
  <c r="L129" i="13"/>
  <c r="K129" i="13"/>
  <c r="I129" i="13"/>
  <c r="H129" i="13"/>
  <c r="G129" i="13"/>
  <c r="F129" i="13"/>
  <c r="D129" i="13"/>
  <c r="C129" i="13"/>
  <c r="B129" i="13"/>
  <c r="A129" i="13"/>
  <c r="K145" i="13"/>
  <c r="I145" i="13"/>
  <c r="H145" i="13"/>
  <c r="G145" i="13"/>
  <c r="F145" i="13"/>
  <c r="D145" i="13"/>
  <c r="C145" i="13"/>
  <c r="B145" i="13"/>
  <c r="A145" i="13"/>
  <c r="L491" i="13"/>
  <c r="K491" i="13"/>
  <c r="I491" i="13"/>
  <c r="H491" i="13"/>
  <c r="G491" i="13"/>
  <c r="F491" i="13"/>
  <c r="D491" i="13"/>
  <c r="C491" i="13"/>
  <c r="B491" i="13"/>
  <c r="A491" i="13"/>
  <c r="L190" i="13"/>
  <c r="K190" i="13"/>
  <c r="I190" i="13"/>
  <c r="H190" i="13"/>
  <c r="G190" i="13"/>
  <c r="F190" i="13"/>
  <c r="D190" i="13"/>
  <c r="C190" i="13"/>
  <c r="B190" i="13"/>
  <c r="A190" i="13"/>
  <c r="L245" i="13"/>
  <c r="K245" i="13"/>
  <c r="I245" i="13"/>
  <c r="H245" i="13"/>
  <c r="G245" i="13"/>
  <c r="F245" i="13"/>
  <c r="D245" i="13"/>
  <c r="C245" i="13"/>
  <c r="B245" i="13"/>
  <c r="A245" i="13"/>
  <c r="L337" i="13"/>
  <c r="K337" i="13"/>
  <c r="I337" i="13"/>
  <c r="H337" i="13"/>
  <c r="G337" i="13"/>
  <c r="F337" i="13"/>
  <c r="D337" i="13"/>
  <c r="C337" i="13"/>
  <c r="B337" i="13"/>
  <c r="A337" i="13"/>
  <c r="L551" i="13"/>
  <c r="K551" i="13"/>
  <c r="I551" i="13"/>
  <c r="H551" i="13"/>
  <c r="G551" i="13"/>
  <c r="F551" i="13"/>
  <c r="D551" i="13"/>
  <c r="C551" i="13"/>
  <c r="B551" i="13"/>
  <c r="A551" i="13"/>
  <c r="L350" i="13"/>
  <c r="K350" i="13"/>
  <c r="I350" i="13"/>
  <c r="H350" i="13"/>
  <c r="G350" i="13"/>
  <c r="F350" i="13"/>
  <c r="D350" i="13"/>
  <c r="C350" i="13"/>
  <c r="B350" i="13"/>
  <c r="A350" i="13"/>
  <c r="L178" i="13"/>
  <c r="K178" i="13"/>
  <c r="I178" i="13"/>
  <c r="H178" i="13"/>
  <c r="G178" i="13"/>
  <c r="F178" i="13"/>
  <c r="D178" i="13"/>
  <c r="C178" i="13"/>
  <c r="B178" i="13"/>
  <c r="A178" i="13"/>
  <c r="L641" i="13"/>
  <c r="K641" i="13"/>
  <c r="I641" i="13"/>
  <c r="H641" i="13"/>
  <c r="G641" i="13"/>
  <c r="F641" i="13"/>
  <c r="D641" i="13"/>
  <c r="C641" i="13"/>
  <c r="B641" i="13"/>
  <c r="A641" i="13"/>
  <c r="L76" i="13"/>
  <c r="K76" i="13"/>
  <c r="I76" i="13"/>
  <c r="H76" i="13"/>
  <c r="G76" i="13"/>
  <c r="F76" i="13"/>
  <c r="D76" i="13"/>
  <c r="C76" i="13"/>
  <c r="B76" i="13"/>
  <c r="A76" i="13"/>
  <c r="L309" i="13"/>
  <c r="K309" i="13"/>
  <c r="I309" i="13"/>
  <c r="H309" i="13"/>
  <c r="G309" i="13"/>
  <c r="F309" i="13"/>
  <c r="D309" i="13"/>
  <c r="C309" i="13"/>
  <c r="B309" i="13"/>
  <c r="A309" i="13"/>
  <c r="L180" i="13"/>
  <c r="K180" i="13"/>
  <c r="I180" i="13"/>
  <c r="H180" i="13"/>
  <c r="G180" i="13"/>
  <c r="F180" i="13"/>
  <c r="D180" i="13"/>
  <c r="C180" i="13"/>
  <c r="B180" i="13"/>
  <c r="A180" i="13"/>
  <c r="K627" i="13"/>
  <c r="I627" i="13"/>
  <c r="H627" i="13"/>
  <c r="G627" i="13"/>
  <c r="F627" i="13"/>
  <c r="D627" i="13"/>
  <c r="C627" i="13"/>
  <c r="B627" i="13"/>
  <c r="A627" i="13"/>
  <c r="L564" i="13"/>
  <c r="K564" i="13"/>
  <c r="I564" i="13"/>
  <c r="H564" i="13"/>
  <c r="G564" i="13"/>
  <c r="F564" i="13"/>
  <c r="D564" i="13"/>
  <c r="C564" i="13"/>
  <c r="B564" i="13"/>
  <c r="A564" i="13"/>
  <c r="K522" i="13"/>
  <c r="I522" i="13"/>
  <c r="H522" i="13"/>
  <c r="G522" i="13"/>
  <c r="F522" i="13"/>
  <c r="D522" i="13"/>
  <c r="C522" i="13"/>
  <c r="B522" i="13"/>
  <c r="A522" i="13"/>
  <c r="L505" i="13"/>
  <c r="K505" i="13"/>
  <c r="I505" i="13"/>
  <c r="H505" i="13"/>
  <c r="G505" i="13"/>
  <c r="F505" i="13"/>
  <c r="D505" i="13"/>
  <c r="C505" i="13"/>
  <c r="B505" i="13"/>
  <c r="A505" i="13"/>
  <c r="L217" i="13"/>
  <c r="K217" i="13"/>
  <c r="I217" i="13"/>
  <c r="H217" i="13"/>
  <c r="G217" i="13"/>
  <c r="F217" i="13"/>
  <c r="D217" i="13"/>
  <c r="C217" i="13"/>
  <c r="B217" i="13"/>
  <c r="A217" i="13"/>
  <c r="L425" i="13"/>
  <c r="K425" i="13"/>
  <c r="I425" i="13"/>
  <c r="H425" i="13"/>
  <c r="G425" i="13"/>
  <c r="F425" i="13"/>
  <c r="D425" i="13"/>
  <c r="C425" i="13"/>
  <c r="B425" i="13"/>
  <c r="A425" i="13"/>
  <c r="L530" i="13"/>
  <c r="K530" i="13"/>
  <c r="I530" i="13"/>
  <c r="H530" i="13"/>
  <c r="G530" i="13"/>
  <c r="F530" i="13"/>
  <c r="D530" i="13"/>
  <c r="C530" i="13"/>
  <c r="B530" i="13"/>
  <c r="A530" i="13"/>
  <c r="L397" i="13"/>
  <c r="K397" i="13"/>
  <c r="I397" i="13"/>
  <c r="H397" i="13"/>
  <c r="G397" i="13"/>
  <c r="F397" i="13"/>
  <c r="D397" i="13"/>
  <c r="C397" i="13"/>
  <c r="B397" i="13"/>
  <c r="A397" i="13"/>
  <c r="L323" i="13"/>
  <c r="K323" i="13"/>
  <c r="I323" i="13"/>
  <c r="H323" i="13"/>
  <c r="G323" i="13"/>
  <c r="F323" i="13"/>
  <c r="D323" i="13"/>
  <c r="C323" i="13"/>
  <c r="B323" i="13"/>
  <c r="A323" i="13"/>
  <c r="K385" i="13"/>
  <c r="I385" i="13"/>
  <c r="H385" i="13"/>
  <c r="G385" i="13"/>
  <c r="F385" i="13"/>
  <c r="D385" i="13"/>
  <c r="C385" i="13"/>
  <c r="B385" i="13"/>
  <c r="A385" i="13"/>
  <c r="K173" i="13"/>
  <c r="I173" i="13"/>
  <c r="H173" i="13"/>
  <c r="G173" i="13"/>
  <c r="F173" i="13"/>
  <c r="D173" i="13"/>
  <c r="C173" i="13"/>
  <c r="B173" i="13"/>
  <c r="A173" i="13"/>
  <c r="L529" i="13"/>
  <c r="K529" i="13"/>
  <c r="I529" i="13"/>
  <c r="H529" i="13"/>
  <c r="G529" i="13"/>
  <c r="F529" i="13"/>
  <c r="D529" i="13"/>
  <c r="C529" i="13"/>
  <c r="B529" i="13"/>
  <c r="A529" i="13"/>
  <c r="L63" i="13"/>
  <c r="K63" i="13"/>
  <c r="I63" i="13"/>
  <c r="H63" i="13"/>
  <c r="G63" i="13"/>
  <c r="F63" i="13"/>
  <c r="D63" i="13"/>
  <c r="C63" i="13"/>
  <c r="B63" i="13"/>
  <c r="A63" i="13"/>
  <c r="L184" i="13"/>
  <c r="K184" i="13"/>
  <c r="I184" i="13"/>
  <c r="H184" i="13"/>
  <c r="G184" i="13"/>
  <c r="F184" i="13"/>
  <c r="D184" i="13"/>
  <c r="C184" i="13"/>
  <c r="B184" i="13"/>
  <c r="A184" i="13"/>
  <c r="L423" i="13"/>
  <c r="K423" i="13"/>
  <c r="I423" i="13"/>
  <c r="H423" i="13"/>
  <c r="G423" i="13"/>
  <c r="F423" i="13"/>
  <c r="D423" i="13"/>
  <c r="C423" i="13"/>
  <c r="B423" i="13"/>
  <c r="A423" i="13"/>
  <c r="L102" i="13"/>
  <c r="K102" i="13"/>
  <c r="I102" i="13"/>
  <c r="H102" i="13"/>
  <c r="G102" i="13"/>
  <c r="F102" i="13"/>
  <c r="D102" i="13"/>
  <c r="C102" i="13"/>
  <c r="B102" i="13"/>
  <c r="A102" i="13"/>
  <c r="L202" i="13"/>
  <c r="K202" i="13"/>
  <c r="I202" i="13"/>
  <c r="H202" i="13"/>
  <c r="G202" i="13"/>
  <c r="F202" i="13"/>
  <c r="D202" i="13"/>
  <c r="C202" i="13"/>
  <c r="B202" i="13"/>
  <c r="A202" i="13"/>
  <c r="L146" i="13"/>
  <c r="K146" i="13"/>
  <c r="I146" i="13"/>
  <c r="H146" i="13"/>
  <c r="G146" i="13"/>
  <c r="F146" i="13"/>
  <c r="D146" i="13"/>
  <c r="C146" i="13"/>
  <c r="B146" i="13"/>
  <c r="A146" i="13"/>
  <c r="L231" i="13"/>
  <c r="K231" i="13"/>
  <c r="I231" i="13"/>
  <c r="H231" i="13"/>
  <c r="G231" i="13"/>
  <c r="F231" i="13"/>
  <c r="D231" i="13"/>
  <c r="C231" i="13"/>
  <c r="B231" i="13"/>
  <c r="A231" i="13"/>
  <c r="L34" i="13"/>
  <c r="K34" i="13"/>
  <c r="I34" i="13"/>
  <c r="H34" i="13"/>
  <c r="G34" i="13"/>
  <c r="F34" i="13"/>
  <c r="D34" i="13"/>
  <c r="C34" i="13"/>
  <c r="B34" i="13"/>
  <c r="A34" i="13"/>
  <c r="L265" i="13"/>
  <c r="K265" i="13"/>
  <c r="I265" i="13"/>
  <c r="H265" i="13"/>
  <c r="G265" i="13"/>
  <c r="F265" i="13"/>
  <c r="D265" i="13"/>
  <c r="C265" i="13"/>
  <c r="B265" i="13"/>
  <c r="A265" i="13"/>
  <c r="L454" i="13"/>
  <c r="K454" i="13"/>
  <c r="I454" i="13"/>
  <c r="H454" i="13"/>
  <c r="G454" i="13"/>
  <c r="F454" i="13"/>
  <c r="D454" i="13"/>
  <c r="C454" i="13"/>
  <c r="B454" i="13"/>
  <c r="A454" i="13"/>
  <c r="L210" i="13"/>
  <c r="K210" i="13"/>
  <c r="I210" i="13"/>
  <c r="H210" i="13"/>
  <c r="G210" i="13"/>
  <c r="F210" i="13"/>
  <c r="D210" i="13"/>
  <c r="B210" i="13"/>
  <c r="A210" i="13"/>
  <c r="L324" i="13"/>
  <c r="K324" i="13"/>
  <c r="I324" i="13"/>
  <c r="H324" i="13"/>
  <c r="G324" i="13"/>
  <c r="F324" i="13"/>
  <c r="D324" i="13"/>
  <c r="C324" i="13"/>
  <c r="B324" i="13"/>
  <c r="A324" i="13"/>
  <c r="L305" i="13"/>
  <c r="K305" i="13"/>
  <c r="I305" i="13"/>
  <c r="H305" i="13"/>
  <c r="G305" i="13"/>
  <c r="F305" i="13"/>
  <c r="D305" i="13"/>
  <c r="C305" i="13"/>
  <c r="B305" i="13"/>
  <c r="A305" i="13"/>
  <c r="L448" i="13"/>
  <c r="K448" i="13"/>
  <c r="I448" i="13"/>
  <c r="H448" i="13"/>
  <c r="G448" i="13"/>
  <c r="F448" i="13"/>
  <c r="D448" i="13"/>
  <c r="C448" i="13"/>
  <c r="B448" i="13"/>
  <c r="A448" i="13"/>
  <c r="L444" i="13"/>
  <c r="K444" i="13"/>
  <c r="I444" i="13"/>
  <c r="H444" i="13"/>
  <c r="G444" i="13"/>
  <c r="F444" i="13"/>
  <c r="D444" i="13"/>
  <c r="C444" i="13"/>
  <c r="B444" i="13"/>
  <c r="A444" i="13"/>
  <c r="L197" i="13"/>
  <c r="K197" i="13"/>
  <c r="I197" i="13"/>
  <c r="H197" i="13"/>
  <c r="G197" i="13"/>
  <c r="F197" i="13"/>
  <c r="D197" i="13"/>
  <c r="C197" i="13"/>
  <c r="B197" i="13"/>
  <c r="A197" i="13"/>
  <c r="L103" i="13"/>
  <c r="K103" i="13"/>
  <c r="I103" i="13"/>
  <c r="H103" i="13"/>
  <c r="G103" i="13"/>
  <c r="F103" i="13"/>
  <c r="D103" i="13"/>
  <c r="C103" i="13"/>
  <c r="B103" i="13"/>
  <c r="A103" i="13"/>
  <c r="K316" i="13"/>
  <c r="I316" i="13"/>
  <c r="H316" i="13"/>
  <c r="G316" i="13"/>
  <c r="F316" i="13"/>
  <c r="D316" i="13"/>
  <c r="C316" i="13"/>
  <c r="B316" i="13"/>
  <c r="A316" i="13"/>
  <c r="K390" i="13"/>
  <c r="I390" i="13"/>
  <c r="H390" i="13"/>
  <c r="G390" i="13"/>
  <c r="F390" i="13"/>
  <c r="D390" i="13"/>
  <c r="C390" i="13"/>
  <c r="B390" i="13"/>
  <c r="A390" i="13"/>
  <c r="L131" i="13"/>
  <c r="K131" i="13"/>
  <c r="I131" i="13"/>
  <c r="H131" i="13"/>
  <c r="G131" i="13"/>
  <c r="F131" i="13"/>
  <c r="D131" i="13"/>
  <c r="C131" i="13"/>
  <c r="B131" i="13"/>
  <c r="A131" i="13"/>
  <c r="L274" i="13"/>
  <c r="K274" i="13"/>
  <c r="I274" i="13"/>
  <c r="H274" i="13"/>
  <c r="G274" i="13"/>
  <c r="F274" i="13"/>
  <c r="D274" i="13"/>
  <c r="C274" i="13"/>
  <c r="B274" i="13"/>
  <c r="A274" i="13"/>
  <c r="L634" i="13"/>
  <c r="K634" i="13"/>
  <c r="I634" i="13"/>
  <c r="H634" i="13"/>
  <c r="G634" i="13"/>
  <c r="F634" i="13"/>
  <c r="D634" i="13"/>
  <c r="C634" i="13"/>
  <c r="B634" i="13"/>
  <c r="A634" i="13"/>
  <c r="L219" i="13"/>
  <c r="K219" i="13"/>
  <c r="I219" i="13"/>
  <c r="H219" i="13"/>
  <c r="G219" i="13"/>
  <c r="F219" i="13"/>
  <c r="D219" i="13"/>
  <c r="C219" i="13"/>
  <c r="B219" i="13"/>
  <c r="A219" i="13"/>
  <c r="L166" i="13"/>
  <c r="K166" i="13"/>
  <c r="I166" i="13"/>
  <c r="H166" i="13"/>
  <c r="G166" i="13"/>
  <c r="F166" i="13"/>
  <c r="D166" i="13"/>
  <c r="C166" i="13"/>
  <c r="B166" i="13"/>
  <c r="A166" i="13"/>
  <c r="L533" i="13"/>
  <c r="K533" i="13"/>
  <c r="I533" i="13"/>
  <c r="H533" i="13"/>
  <c r="G533" i="13"/>
  <c r="F533" i="13"/>
  <c r="D533" i="13"/>
  <c r="C533" i="13"/>
  <c r="B533" i="13"/>
  <c r="A533" i="13"/>
  <c r="L56" i="13"/>
  <c r="K56" i="13"/>
  <c r="I56" i="13"/>
  <c r="H56" i="13"/>
  <c r="G56" i="13"/>
  <c r="F56" i="13"/>
  <c r="D56" i="13"/>
  <c r="C56" i="13"/>
  <c r="B56" i="13"/>
  <c r="A56" i="13"/>
  <c r="L211" i="13"/>
  <c r="K211" i="13"/>
  <c r="I211" i="13"/>
  <c r="H211" i="13"/>
  <c r="G211" i="13"/>
  <c r="F211" i="13"/>
  <c r="D211" i="13"/>
  <c r="C211" i="13"/>
  <c r="B211" i="13"/>
  <c r="A211" i="13"/>
  <c r="L127" i="13"/>
  <c r="K127" i="13"/>
  <c r="I127" i="13"/>
  <c r="H127" i="13"/>
  <c r="G127" i="13"/>
  <c r="F127" i="13"/>
  <c r="D127" i="13"/>
  <c r="C127" i="13"/>
  <c r="B127" i="13"/>
  <c r="A127" i="13"/>
  <c r="K172" i="13"/>
  <c r="I172" i="13"/>
  <c r="H172" i="13"/>
  <c r="G172" i="13"/>
  <c r="F172" i="13"/>
  <c r="D172" i="13"/>
  <c r="C172" i="13"/>
  <c r="B172" i="13"/>
  <c r="A172" i="13"/>
  <c r="L37" i="13"/>
  <c r="K37" i="13"/>
  <c r="I37" i="13"/>
  <c r="H37" i="13"/>
  <c r="G37" i="13"/>
  <c r="F37" i="13"/>
  <c r="D37" i="13"/>
  <c r="C37" i="13"/>
  <c r="B37" i="13"/>
  <c r="A37" i="13"/>
  <c r="L159" i="13"/>
  <c r="K159" i="13"/>
  <c r="I159" i="13"/>
  <c r="H159" i="13"/>
  <c r="G159" i="13"/>
  <c r="F159" i="13"/>
  <c r="D159" i="13"/>
  <c r="C159" i="13"/>
  <c r="B159" i="13"/>
  <c r="A159" i="13"/>
  <c r="L157" i="13"/>
  <c r="K157" i="13"/>
  <c r="I157" i="13"/>
  <c r="H157" i="13"/>
  <c r="G157" i="13"/>
  <c r="F157" i="13"/>
  <c r="D157" i="13"/>
  <c r="C157" i="13"/>
  <c r="B157" i="13"/>
  <c r="A157" i="13"/>
  <c r="L321" i="13"/>
  <c r="K321" i="13"/>
  <c r="I321" i="13"/>
  <c r="H321" i="13"/>
  <c r="G321" i="13"/>
  <c r="F321" i="13"/>
  <c r="D321" i="13"/>
  <c r="C321" i="13"/>
  <c r="B321" i="13"/>
  <c r="A321" i="13"/>
  <c r="L83" i="13"/>
  <c r="K83" i="13"/>
  <c r="I83" i="13"/>
  <c r="H83" i="13"/>
  <c r="G83" i="13"/>
  <c r="F83" i="13"/>
  <c r="D83" i="13"/>
  <c r="C83" i="13"/>
  <c r="B83" i="13"/>
  <c r="A83" i="13"/>
  <c r="L168" i="13"/>
  <c r="K168" i="13"/>
  <c r="I168" i="13"/>
  <c r="H168" i="13"/>
  <c r="G168" i="13"/>
  <c r="F168" i="13"/>
  <c r="D168" i="13"/>
  <c r="C168" i="13"/>
  <c r="B168" i="13"/>
  <c r="A168" i="13"/>
  <c r="L133" i="13"/>
  <c r="K133" i="13"/>
  <c r="I133" i="13"/>
  <c r="H133" i="13"/>
  <c r="G133" i="13"/>
  <c r="F133" i="13"/>
  <c r="D133" i="13"/>
  <c r="C133" i="13"/>
  <c r="B133" i="13"/>
  <c r="A133" i="13"/>
  <c r="L356" i="13"/>
  <c r="K356" i="13"/>
  <c r="I356" i="13"/>
  <c r="H356" i="13"/>
  <c r="G356" i="13"/>
  <c r="F356" i="13"/>
  <c r="D356" i="13"/>
  <c r="C356" i="13"/>
  <c r="B356" i="13"/>
  <c r="A356" i="13"/>
  <c r="L383" i="13"/>
  <c r="K383" i="13"/>
  <c r="I383" i="13"/>
  <c r="H383" i="13"/>
  <c r="G383" i="13"/>
  <c r="F383" i="13"/>
  <c r="D383" i="13"/>
  <c r="C383" i="13"/>
  <c r="B383" i="13"/>
  <c r="A383" i="13"/>
  <c r="L313" i="13"/>
  <c r="K313" i="13"/>
  <c r="I313" i="13"/>
  <c r="H313" i="13"/>
  <c r="G313" i="13"/>
  <c r="F313" i="13"/>
  <c r="D313" i="13"/>
  <c r="C313" i="13"/>
  <c r="B313" i="13"/>
  <c r="A313" i="13"/>
  <c r="L333" i="13"/>
  <c r="K333" i="13"/>
  <c r="I333" i="13"/>
  <c r="H333" i="13"/>
  <c r="G333" i="13"/>
  <c r="F333" i="13"/>
  <c r="D333" i="13"/>
  <c r="C333" i="13"/>
  <c r="B333" i="13"/>
  <c r="A333" i="13"/>
  <c r="L519" i="13"/>
  <c r="K519" i="13"/>
  <c r="I519" i="13"/>
  <c r="H519" i="13"/>
  <c r="G519" i="13"/>
  <c r="F519" i="13"/>
  <c r="D519" i="13"/>
  <c r="C519" i="13"/>
  <c r="B519" i="13"/>
  <c r="A519" i="13"/>
  <c r="K678" i="13"/>
  <c r="I678" i="13"/>
  <c r="H678" i="13"/>
  <c r="G678" i="13"/>
  <c r="F678" i="13"/>
  <c r="D678" i="13"/>
  <c r="C678" i="13"/>
  <c r="B678" i="13"/>
  <c r="A678" i="13"/>
  <c r="L460" i="13"/>
  <c r="K460" i="13"/>
  <c r="I460" i="13"/>
  <c r="H460" i="13"/>
  <c r="G460" i="13"/>
  <c r="F460" i="13"/>
  <c r="D460" i="13"/>
  <c r="C460" i="13"/>
  <c r="B460" i="13"/>
  <c r="A460" i="13"/>
  <c r="L106" i="13"/>
  <c r="K106" i="13"/>
  <c r="I106" i="13"/>
  <c r="H106" i="13"/>
  <c r="G106" i="13"/>
  <c r="F106" i="13"/>
  <c r="D106" i="13"/>
  <c r="C106" i="13"/>
  <c r="B106" i="13"/>
  <c r="A106" i="13"/>
  <c r="L412" i="13"/>
  <c r="K412" i="13"/>
  <c r="I412" i="13"/>
  <c r="H412" i="13"/>
  <c r="G412" i="13"/>
  <c r="F412" i="13"/>
  <c r="D412" i="13"/>
  <c r="C412" i="13"/>
  <c r="B412" i="13"/>
  <c r="A412" i="13"/>
  <c r="L286" i="13"/>
  <c r="K286" i="13"/>
  <c r="I286" i="13"/>
  <c r="H286" i="13"/>
  <c r="G286" i="13"/>
  <c r="F286" i="13"/>
  <c r="D286" i="13"/>
  <c r="C286" i="13"/>
  <c r="B286" i="13"/>
  <c r="A286" i="13"/>
  <c r="L161" i="13"/>
  <c r="K161" i="13"/>
  <c r="I161" i="13"/>
  <c r="H161" i="13"/>
  <c r="G161" i="13"/>
  <c r="F161" i="13"/>
  <c r="D161" i="13"/>
  <c r="C161" i="13"/>
  <c r="B161" i="13"/>
  <c r="A161" i="13"/>
  <c r="L4" i="13"/>
  <c r="K4" i="13"/>
  <c r="I4" i="13"/>
  <c r="H4" i="13"/>
  <c r="G4" i="13"/>
  <c r="F4" i="13"/>
  <c r="D4" i="13"/>
  <c r="C4" i="13"/>
  <c r="B4" i="13"/>
  <c r="A4" i="13"/>
  <c r="L118" i="13"/>
  <c r="K118" i="13"/>
  <c r="I118" i="13"/>
  <c r="H118" i="13"/>
  <c r="G118" i="13"/>
  <c r="F118" i="13"/>
  <c r="D118" i="13"/>
  <c r="C118" i="13"/>
  <c r="B118" i="13"/>
  <c r="A118" i="13"/>
  <c r="L447" i="13"/>
  <c r="K447" i="13"/>
  <c r="I447" i="13"/>
  <c r="H447" i="13"/>
  <c r="G447" i="13"/>
  <c r="F447" i="13"/>
  <c r="D447" i="13"/>
  <c r="C447" i="13"/>
  <c r="B447" i="13"/>
  <c r="A447" i="13"/>
  <c r="L262" i="13"/>
  <c r="K262" i="13"/>
  <c r="I262" i="13"/>
  <c r="H262" i="13"/>
  <c r="G262" i="13"/>
  <c r="F262" i="13"/>
  <c r="D262" i="13"/>
  <c r="C262" i="13"/>
  <c r="B262" i="13"/>
  <c r="A262" i="13"/>
  <c r="L393" i="13"/>
  <c r="K393" i="13"/>
  <c r="I393" i="13"/>
  <c r="H393" i="13"/>
  <c r="G393" i="13"/>
  <c r="F393" i="13"/>
  <c r="D393" i="13"/>
  <c r="C393" i="13"/>
  <c r="B393" i="13"/>
  <c r="A393" i="13"/>
  <c r="K182" i="13"/>
  <c r="I182" i="13"/>
  <c r="H182" i="13"/>
  <c r="G182" i="13"/>
  <c r="F182" i="13"/>
  <c r="D182" i="13"/>
  <c r="C182" i="13"/>
  <c r="B182" i="13"/>
  <c r="A182" i="13"/>
  <c r="L532" i="13"/>
  <c r="K532" i="13"/>
  <c r="I532" i="13"/>
  <c r="H532" i="13"/>
  <c r="G532" i="13"/>
  <c r="F532" i="13"/>
  <c r="D532" i="13"/>
  <c r="C532" i="13"/>
  <c r="B532" i="13"/>
  <c r="A532" i="13"/>
  <c r="L261" i="13"/>
  <c r="K261" i="13"/>
  <c r="I261" i="13"/>
  <c r="H261" i="13"/>
  <c r="G261" i="13"/>
  <c r="F261" i="13"/>
  <c r="D261" i="13"/>
  <c r="C261" i="13"/>
  <c r="B261" i="13"/>
  <c r="A261" i="13"/>
  <c r="L668" i="13"/>
  <c r="K668" i="13"/>
  <c r="I668" i="13"/>
  <c r="H668" i="13"/>
  <c r="G668" i="13"/>
  <c r="F668" i="13"/>
  <c r="D668" i="13"/>
  <c r="C668" i="13"/>
  <c r="B668" i="13"/>
  <c r="A668" i="13"/>
  <c r="L90" i="13"/>
  <c r="K90" i="13"/>
  <c r="I90" i="13"/>
  <c r="H90" i="13"/>
  <c r="G90" i="13"/>
  <c r="F90" i="13"/>
  <c r="D90" i="13"/>
  <c r="C90" i="13"/>
  <c r="B90" i="13"/>
  <c r="A90" i="13"/>
  <c r="L579" i="13"/>
  <c r="K579" i="13"/>
  <c r="I579" i="13"/>
  <c r="H579" i="13"/>
  <c r="G579" i="13"/>
  <c r="F579" i="13"/>
  <c r="D579" i="13"/>
  <c r="C579" i="13"/>
  <c r="B579" i="13"/>
  <c r="A579" i="13"/>
  <c r="L361" i="13"/>
  <c r="K361" i="13"/>
  <c r="I361" i="13"/>
  <c r="H361" i="13"/>
  <c r="G361" i="13"/>
  <c r="F361" i="13"/>
  <c r="D361" i="13"/>
  <c r="C361" i="13"/>
  <c r="B361" i="13"/>
  <c r="A361" i="13"/>
  <c r="L443" i="13"/>
  <c r="K443" i="13"/>
  <c r="I443" i="13"/>
  <c r="H443" i="13"/>
  <c r="G443" i="13"/>
  <c r="F443" i="13"/>
  <c r="D443" i="13"/>
  <c r="C443" i="13"/>
  <c r="B443" i="13"/>
  <c r="A443" i="13"/>
  <c r="L378" i="13"/>
  <c r="K378" i="13"/>
  <c r="I378" i="13"/>
  <c r="H378" i="13"/>
  <c r="G378" i="13"/>
  <c r="F378" i="13"/>
  <c r="D378" i="13"/>
  <c r="C378" i="13"/>
  <c r="B378" i="13"/>
  <c r="A378" i="13"/>
  <c r="L252" i="13"/>
  <c r="K252" i="13"/>
  <c r="I252" i="13"/>
  <c r="H252" i="13"/>
  <c r="G252" i="13"/>
  <c r="F252" i="13"/>
  <c r="D252" i="13"/>
  <c r="C252" i="13"/>
  <c r="B252" i="13"/>
  <c r="A252" i="13"/>
  <c r="L467" i="13"/>
  <c r="K467" i="13"/>
  <c r="I467" i="13"/>
  <c r="H467" i="13"/>
  <c r="G467" i="13"/>
  <c r="F467" i="13"/>
  <c r="D467" i="13"/>
  <c r="C467" i="13"/>
  <c r="B467" i="13"/>
  <c r="A467" i="13"/>
  <c r="L416" i="13"/>
  <c r="K416" i="13"/>
  <c r="I416" i="13"/>
  <c r="H416" i="13"/>
  <c r="G416" i="13"/>
  <c r="F416" i="13"/>
  <c r="D416" i="13"/>
  <c r="C416" i="13"/>
  <c r="B416" i="13"/>
  <c r="A416" i="13"/>
  <c r="L470" i="13"/>
  <c r="K470" i="13"/>
  <c r="I470" i="13"/>
  <c r="H470" i="13"/>
  <c r="G470" i="13"/>
  <c r="F470" i="13"/>
  <c r="D470" i="13"/>
  <c r="C470" i="13"/>
  <c r="B470" i="13"/>
  <c r="A470" i="13"/>
  <c r="L92" i="13"/>
  <c r="K92" i="13"/>
  <c r="I92" i="13"/>
  <c r="H92" i="13"/>
  <c r="G92" i="13"/>
  <c r="F92" i="13"/>
  <c r="D92" i="13"/>
  <c r="C92" i="13"/>
  <c r="B92" i="13"/>
  <c r="A92" i="13"/>
  <c r="I638" i="13"/>
  <c r="H638" i="13"/>
  <c r="G638" i="13"/>
  <c r="F638" i="13"/>
  <c r="D638" i="13"/>
  <c r="C638" i="13"/>
  <c r="B638" i="13"/>
  <c r="A638" i="13"/>
  <c r="L293" i="13"/>
  <c r="K293" i="13"/>
  <c r="I293" i="13"/>
  <c r="H293" i="13"/>
  <c r="G293" i="13"/>
  <c r="F293" i="13"/>
  <c r="D293" i="13"/>
  <c r="C293" i="13"/>
  <c r="B293" i="13"/>
  <c r="A293" i="13"/>
  <c r="L480" i="13"/>
  <c r="K480" i="13"/>
  <c r="I480" i="13"/>
  <c r="H480" i="13"/>
  <c r="G480" i="13"/>
  <c r="F480" i="13"/>
  <c r="D480" i="13"/>
  <c r="C480" i="13"/>
  <c r="B480" i="13"/>
  <c r="A480" i="13"/>
  <c r="L259" i="13"/>
  <c r="K259" i="13"/>
  <c r="I259" i="13"/>
  <c r="H259" i="13"/>
  <c r="G259" i="13"/>
  <c r="F259" i="13"/>
  <c r="D259" i="13"/>
  <c r="C259" i="13"/>
  <c r="B259" i="13"/>
  <c r="A259" i="13"/>
  <c r="L353" i="13"/>
  <c r="K353" i="13"/>
  <c r="I353" i="13"/>
  <c r="H353" i="13"/>
  <c r="G353" i="13"/>
  <c r="F353" i="13"/>
  <c r="D353" i="13"/>
  <c r="C353" i="13"/>
  <c r="B353" i="13"/>
  <c r="A353" i="13"/>
  <c r="L335" i="13"/>
  <c r="K335" i="13"/>
  <c r="I335" i="13"/>
  <c r="H335" i="13"/>
  <c r="G335" i="13"/>
  <c r="F335" i="13"/>
  <c r="D335" i="13"/>
  <c r="C335" i="13"/>
  <c r="B335" i="13"/>
  <c r="A335" i="13"/>
  <c r="L566" i="13"/>
  <c r="K566" i="13"/>
  <c r="I566" i="13"/>
  <c r="H566" i="13"/>
  <c r="G566" i="13"/>
  <c r="F566" i="13"/>
  <c r="D566" i="13"/>
  <c r="C566" i="13"/>
  <c r="B566" i="13"/>
  <c r="A566" i="13"/>
  <c r="L415" i="13"/>
  <c r="K415" i="13"/>
  <c r="I415" i="13"/>
  <c r="H415" i="13"/>
  <c r="G415" i="13"/>
  <c r="F415" i="13"/>
  <c r="D415" i="13"/>
  <c r="C415" i="13"/>
  <c r="B415" i="13"/>
  <c r="A415" i="13"/>
  <c r="L486" i="13"/>
  <c r="K486" i="13"/>
  <c r="I486" i="13"/>
  <c r="H486" i="13"/>
  <c r="G486" i="13"/>
  <c r="F486" i="13"/>
  <c r="D486" i="13"/>
  <c r="C486" i="13"/>
  <c r="B486" i="13"/>
  <c r="A486" i="13"/>
  <c r="L404" i="13"/>
  <c r="K404" i="13"/>
  <c r="I404" i="13"/>
  <c r="H404" i="13"/>
  <c r="G404" i="13"/>
  <c r="F404" i="13"/>
  <c r="D404" i="13"/>
  <c r="C404" i="13"/>
  <c r="B404" i="13"/>
  <c r="A404" i="13"/>
  <c r="L595" i="13"/>
  <c r="K595" i="13"/>
  <c r="I595" i="13"/>
  <c r="H595" i="13"/>
  <c r="G595" i="13"/>
  <c r="F595" i="13"/>
  <c r="D595" i="13"/>
  <c r="C595" i="13"/>
  <c r="B595" i="13"/>
  <c r="A595" i="13"/>
  <c r="L125" i="13"/>
  <c r="K125" i="13"/>
  <c r="I125" i="13"/>
  <c r="H125" i="13"/>
  <c r="G125" i="13"/>
  <c r="F125" i="13"/>
  <c r="D125" i="13"/>
  <c r="C125" i="13"/>
  <c r="B125" i="13"/>
  <c r="A125" i="13"/>
  <c r="L155" i="13"/>
  <c r="K155" i="13"/>
  <c r="I155" i="13"/>
  <c r="H155" i="13"/>
  <c r="G155" i="13"/>
  <c r="F155" i="13"/>
  <c r="D155" i="13"/>
  <c r="C155" i="13"/>
  <c r="B155" i="13"/>
  <c r="A155" i="13"/>
  <c r="L528" i="13"/>
  <c r="K528" i="13"/>
  <c r="I528" i="13"/>
  <c r="H528" i="13"/>
  <c r="G528" i="13"/>
  <c r="F528" i="13"/>
  <c r="D528" i="13"/>
  <c r="C528" i="13"/>
  <c r="B528" i="13"/>
  <c r="A528" i="13"/>
  <c r="K371" i="13"/>
  <c r="I371" i="13"/>
  <c r="H371" i="13"/>
  <c r="G371" i="13"/>
  <c r="F371" i="13"/>
  <c r="D371" i="13"/>
  <c r="C371" i="13"/>
  <c r="B371" i="13"/>
  <c r="A371" i="13"/>
  <c r="L399" i="13"/>
  <c r="K399" i="13"/>
  <c r="I399" i="13"/>
  <c r="H399" i="13"/>
  <c r="G399" i="13"/>
  <c r="F399" i="13"/>
  <c r="D399" i="13"/>
  <c r="C399" i="13"/>
  <c r="B399" i="13"/>
  <c r="A399" i="13"/>
  <c r="L171" i="13"/>
  <c r="K171" i="13"/>
  <c r="I171" i="13"/>
  <c r="H171" i="13"/>
  <c r="G171" i="13"/>
  <c r="F171" i="13"/>
  <c r="D171" i="13"/>
  <c r="C171" i="13"/>
  <c r="B171" i="13"/>
  <c r="A171" i="13"/>
  <c r="L596" i="13"/>
  <c r="K596" i="13"/>
  <c r="I596" i="13"/>
  <c r="H596" i="13"/>
  <c r="G596" i="13"/>
  <c r="F596" i="13"/>
  <c r="D596" i="13"/>
  <c r="C596" i="13"/>
  <c r="B596" i="13"/>
  <c r="A596" i="13"/>
  <c r="L244" i="13"/>
  <c r="K244" i="13"/>
  <c r="I244" i="13"/>
  <c r="H244" i="13"/>
  <c r="G244" i="13"/>
  <c r="F244" i="13"/>
  <c r="D244" i="13"/>
  <c r="C244" i="13"/>
  <c r="B244" i="13"/>
  <c r="A244" i="13"/>
  <c r="L673" i="13"/>
  <c r="K673" i="13"/>
  <c r="I673" i="13"/>
  <c r="H673" i="13"/>
  <c r="G673" i="13"/>
  <c r="F673" i="13"/>
  <c r="D673" i="13"/>
  <c r="C673" i="13"/>
  <c r="B673" i="13"/>
  <c r="A673" i="13"/>
  <c r="L123" i="13"/>
  <c r="K123" i="13"/>
  <c r="I123" i="13"/>
  <c r="H123" i="13"/>
  <c r="G123" i="13"/>
  <c r="F123" i="13"/>
  <c r="D123" i="13"/>
  <c r="C123" i="13"/>
  <c r="B123" i="13"/>
  <c r="A123" i="13"/>
  <c r="L196" i="13"/>
  <c r="K196" i="13"/>
  <c r="I196" i="13"/>
  <c r="H196" i="13"/>
  <c r="G196" i="13"/>
  <c r="F196" i="13"/>
  <c r="D196" i="13"/>
  <c r="C196" i="13"/>
  <c r="B196" i="13"/>
  <c r="A196" i="13"/>
  <c r="L198" i="13"/>
  <c r="K198" i="13"/>
  <c r="I198" i="13"/>
  <c r="H198" i="13"/>
  <c r="G198" i="13"/>
  <c r="F198" i="13"/>
  <c r="D198" i="13"/>
  <c r="C198" i="13"/>
  <c r="B198" i="13"/>
  <c r="A198" i="13"/>
  <c r="L110" i="13"/>
  <c r="K110" i="13"/>
  <c r="I110" i="13"/>
  <c r="H110" i="13"/>
  <c r="G110" i="13"/>
  <c r="F110" i="13"/>
  <c r="D110" i="13"/>
  <c r="C110" i="13"/>
  <c r="B110" i="13"/>
  <c r="A110" i="13"/>
  <c r="L140" i="13"/>
  <c r="K140" i="13"/>
  <c r="I140" i="13"/>
  <c r="H140" i="13"/>
  <c r="G140" i="13"/>
  <c r="F140" i="13"/>
  <c r="D140" i="13"/>
  <c r="C140" i="13"/>
  <c r="B140" i="13"/>
  <c r="A140" i="13"/>
  <c r="L58" i="13"/>
  <c r="K58" i="13"/>
  <c r="I58" i="13"/>
  <c r="H58" i="13"/>
  <c r="G58" i="13"/>
  <c r="F58" i="13"/>
  <c r="D58" i="13"/>
  <c r="C58" i="13"/>
  <c r="B58" i="13"/>
  <c r="A58" i="13"/>
  <c r="L59" i="13"/>
  <c r="K59" i="13"/>
  <c r="I59" i="13"/>
  <c r="H59" i="13"/>
  <c r="G59" i="13"/>
  <c r="F59" i="13"/>
  <c r="D59" i="13"/>
  <c r="C59" i="13"/>
  <c r="B59" i="13"/>
  <c r="A59" i="13"/>
  <c r="L78" i="13"/>
  <c r="K78" i="13"/>
  <c r="I78" i="13"/>
  <c r="H78" i="13"/>
  <c r="G78" i="13"/>
  <c r="F78" i="13"/>
  <c r="D78" i="13"/>
  <c r="C78" i="13"/>
  <c r="B78" i="13"/>
  <c r="A78" i="13"/>
  <c r="L283" i="13"/>
  <c r="K283" i="13"/>
  <c r="I283" i="13"/>
  <c r="H283" i="13"/>
  <c r="G283" i="13"/>
  <c r="F283" i="13"/>
  <c r="D283" i="13"/>
  <c r="C283" i="13"/>
  <c r="B283" i="13"/>
  <c r="A283" i="13"/>
  <c r="L91" i="13"/>
  <c r="K91" i="13"/>
  <c r="I91" i="13"/>
  <c r="H91" i="13"/>
  <c r="G91" i="13"/>
  <c r="F91" i="13"/>
  <c r="D91" i="13"/>
  <c r="C91" i="13"/>
  <c r="B91" i="13"/>
  <c r="A91" i="13"/>
  <c r="L98" i="13"/>
  <c r="K98" i="13"/>
  <c r="I98" i="13"/>
  <c r="H98" i="13"/>
  <c r="G98" i="13"/>
  <c r="F98" i="13"/>
  <c r="D98" i="13"/>
  <c r="C98" i="13"/>
  <c r="B98" i="13"/>
  <c r="A98" i="13"/>
  <c r="K689" i="13"/>
  <c r="I689" i="13"/>
  <c r="H689" i="13"/>
  <c r="G689" i="13"/>
  <c r="F689" i="13"/>
  <c r="D689" i="13"/>
  <c r="C689" i="13"/>
  <c r="B689" i="13"/>
  <c r="A689" i="13"/>
  <c r="L312" i="13"/>
  <c r="K312" i="13"/>
  <c r="I312" i="13"/>
  <c r="H312" i="13"/>
  <c r="G312" i="13"/>
  <c r="F312" i="13"/>
  <c r="D312" i="13"/>
  <c r="C312" i="13"/>
  <c r="B312" i="13"/>
  <c r="A312" i="13"/>
  <c r="L617" i="13"/>
  <c r="K617" i="13"/>
  <c r="I617" i="13"/>
  <c r="H617" i="13"/>
  <c r="G617" i="13"/>
  <c r="F617" i="13"/>
  <c r="D617" i="13"/>
  <c r="C617" i="13"/>
  <c r="B617" i="13"/>
  <c r="A617" i="13"/>
  <c r="L413" i="13"/>
  <c r="K413" i="13"/>
  <c r="I413" i="13"/>
  <c r="H413" i="13"/>
  <c r="G413" i="13"/>
  <c r="F413" i="13"/>
  <c r="D413" i="13"/>
  <c r="C413" i="13"/>
  <c r="B413" i="13"/>
  <c r="A413" i="13"/>
  <c r="L437" i="13"/>
  <c r="K437" i="13"/>
  <c r="I437" i="13"/>
  <c r="H437" i="13"/>
  <c r="G437" i="13"/>
  <c r="F437" i="13"/>
  <c r="D437" i="13"/>
  <c r="C437" i="13"/>
  <c r="B437" i="13"/>
  <c r="A437" i="13"/>
  <c r="L23" i="13"/>
  <c r="K23" i="13"/>
  <c r="I23" i="13"/>
  <c r="H23" i="13"/>
  <c r="G23" i="13"/>
  <c r="F23" i="13"/>
  <c r="D23" i="13"/>
  <c r="C23" i="13"/>
  <c r="B23" i="13"/>
  <c r="A23" i="13"/>
  <c r="L109" i="13"/>
  <c r="K109" i="13"/>
  <c r="I109" i="13"/>
  <c r="H109" i="13"/>
  <c r="G109" i="13"/>
  <c r="F109" i="13"/>
  <c r="D109" i="13"/>
  <c r="C109" i="13"/>
  <c r="B109" i="13"/>
  <c r="A109" i="13"/>
  <c r="L299" i="13"/>
  <c r="K299" i="13"/>
  <c r="I299" i="13"/>
  <c r="H299" i="13"/>
  <c r="G299" i="13"/>
  <c r="F299" i="13"/>
  <c r="D299" i="13"/>
  <c r="C299" i="13"/>
  <c r="B299" i="13"/>
  <c r="A299" i="13"/>
  <c r="L395" i="13"/>
  <c r="K395" i="13"/>
  <c r="I395" i="13"/>
  <c r="H395" i="13"/>
  <c r="G395" i="13"/>
  <c r="F395" i="13"/>
  <c r="D395" i="13"/>
  <c r="C395" i="13"/>
  <c r="B395" i="13"/>
  <c r="A395" i="13"/>
  <c r="L363" i="13"/>
  <c r="K363" i="13"/>
  <c r="I363" i="13"/>
  <c r="H363" i="13"/>
  <c r="G363" i="13"/>
  <c r="F363" i="13"/>
  <c r="D363" i="13"/>
  <c r="C363" i="13"/>
  <c r="B363" i="13"/>
  <c r="A363" i="13"/>
  <c r="L472" i="13"/>
  <c r="K472" i="13"/>
  <c r="I472" i="13"/>
  <c r="H472" i="13"/>
  <c r="G472" i="13"/>
  <c r="F472" i="13"/>
  <c r="D472" i="13"/>
  <c r="C472" i="13"/>
  <c r="B472" i="13"/>
  <c r="A472" i="13"/>
  <c r="L18" i="13"/>
  <c r="K18" i="13"/>
  <c r="I18" i="13"/>
  <c r="H18" i="13"/>
  <c r="G18" i="13"/>
  <c r="F18" i="13"/>
  <c r="D18" i="13"/>
  <c r="C18" i="13"/>
  <c r="B18" i="13"/>
  <c r="A18" i="13"/>
  <c r="L370" i="13"/>
  <c r="K370" i="13"/>
  <c r="I370" i="13"/>
  <c r="H370" i="13"/>
  <c r="G370" i="13"/>
  <c r="F370" i="13"/>
  <c r="D370" i="13"/>
  <c r="C370" i="13"/>
  <c r="B370" i="13"/>
  <c r="A370" i="13"/>
  <c r="L555" i="13"/>
  <c r="K555" i="13"/>
  <c r="I555" i="13"/>
  <c r="H555" i="13"/>
  <c r="G555" i="13"/>
  <c r="F555" i="13"/>
  <c r="D555" i="13"/>
  <c r="C555" i="13"/>
  <c r="B555" i="13"/>
  <c r="A555" i="13"/>
  <c r="K688" i="13"/>
  <c r="I688" i="13"/>
  <c r="H688" i="13"/>
  <c r="G688" i="13"/>
  <c r="F688" i="13"/>
  <c r="D688" i="13"/>
  <c r="C688" i="13"/>
  <c r="B688" i="13"/>
  <c r="A688" i="13"/>
  <c r="L10" i="13"/>
  <c r="K10" i="13"/>
  <c r="I10" i="13"/>
  <c r="H10" i="13"/>
  <c r="G10" i="13"/>
  <c r="F10" i="13"/>
  <c r="D10" i="13"/>
  <c r="C10" i="13"/>
  <c r="B10" i="13"/>
  <c r="A10" i="13"/>
  <c r="L587" i="13"/>
  <c r="K587" i="13"/>
  <c r="I587" i="13"/>
  <c r="H587" i="13"/>
  <c r="G587" i="13"/>
  <c r="F587" i="13"/>
  <c r="D587" i="13"/>
  <c r="C587" i="13"/>
  <c r="B587" i="13"/>
  <c r="A587" i="13"/>
  <c r="L300" i="13"/>
  <c r="K300" i="13"/>
  <c r="I300" i="13"/>
  <c r="H300" i="13"/>
  <c r="G300" i="13"/>
  <c r="F300" i="13"/>
  <c r="D300" i="13"/>
  <c r="C300" i="13"/>
  <c r="B300" i="13"/>
  <c r="A300" i="13"/>
  <c r="L138" i="13"/>
  <c r="K138" i="13"/>
  <c r="I138" i="13"/>
  <c r="H138" i="13"/>
  <c r="G138" i="13"/>
  <c r="F138" i="13"/>
  <c r="D138" i="13"/>
  <c r="C138" i="13"/>
  <c r="B138" i="13"/>
  <c r="A138" i="13"/>
  <c r="L72" i="13"/>
  <c r="K72" i="13"/>
  <c r="I72" i="13"/>
  <c r="H72" i="13"/>
  <c r="G72" i="13"/>
  <c r="F72" i="13"/>
  <c r="D72" i="13"/>
  <c r="C72" i="13"/>
  <c r="B72" i="13"/>
  <c r="A72" i="13"/>
  <c r="L17" i="13"/>
  <c r="K17" i="13"/>
  <c r="I17" i="13"/>
  <c r="H17" i="13"/>
  <c r="G17" i="13"/>
  <c r="F17" i="13"/>
  <c r="D17" i="13"/>
  <c r="C17" i="13"/>
  <c r="B17" i="13"/>
  <c r="A17" i="13"/>
  <c r="L40" i="13"/>
  <c r="K40" i="13"/>
  <c r="I40" i="13"/>
  <c r="H40" i="13"/>
  <c r="G40" i="13"/>
  <c r="F40" i="13"/>
  <c r="D40" i="13"/>
  <c r="C40" i="13"/>
  <c r="B40" i="13"/>
  <c r="A40" i="13"/>
  <c r="L51" i="13"/>
  <c r="K51" i="13"/>
  <c r="I51" i="13"/>
  <c r="H51" i="13"/>
  <c r="G51" i="13"/>
  <c r="F51" i="13"/>
  <c r="D51" i="13"/>
  <c r="C51" i="13"/>
  <c r="B51" i="13"/>
  <c r="A51" i="13"/>
  <c r="L407" i="13"/>
  <c r="K407" i="13"/>
  <c r="I407" i="13"/>
  <c r="H407" i="13"/>
  <c r="G407" i="13"/>
  <c r="F407" i="13"/>
  <c r="D407" i="13"/>
  <c r="C407" i="13"/>
  <c r="B407" i="13"/>
  <c r="A407" i="13"/>
  <c r="L50" i="13"/>
  <c r="K50" i="13"/>
  <c r="I50" i="13"/>
  <c r="H50" i="13"/>
  <c r="G50" i="13"/>
  <c r="F50" i="13"/>
  <c r="D50" i="13"/>
  <c r="C50" i="13"/>
  <c r="B50" i="13"/>
  <c r="A50" i="13"/>
  <c r="K298" i="13"/>
  <c r="I298" i="13"/>
  <c r="H298" i="13"/>
  <c r="G298" i="13"/>
  <c r="F298" i="13"/>
  <c r="D298" i="13"/>
  <c r="C298" i="13"/>
  <c r="B298" i="13"/>
  <c r="A298" i="13"/>
  <c r="L438" i="13"/>
  <c r="K438" i="13"/>
  <c r="I438" i="13"/>
  <c r="H438" i="13"/>
  <c r="G438" i="13"/>
  <c r="F438" i="13"/>
  <c r="D438" i="13"/>
  <c r="C438" i="13"/>
  <c r="B438" i="13"/>
  <c r="A438" i="13"/>
  <c r="L349" i="13"/>
  <c r="K349" i="13"/>
  <c r="I349" i="13"/>
  <c r="H349" i="13"/>
  <c r="G349" i="13"/>
  <c r="F349" i="13"/>
  <c r="D349" i="13"/>
  <c r="C349" i="13"/>
  <c r="B349" i="13"/>
  <c r="A349" i="13"/>
  <c r="L625" i="13"/>
  <c r="K625" i="13"/>
  <c r="I625" i="13"/>
  <c r="H625" i="13"/>
  <c r="G625" i="13"/>
  <c r="F625" i="13"/>
  <c r="D625" i="13"/>
  <c r="C625" i="13"/>
  <c r="B625" i="13"/>
  <c r="A625" i="13"/>
  <c r="I599" i="13"/>
  <c r="H599" i="13"/>
  <c r="G599" i="13"/>
  <c r="F599" i="13"/>
  <c r="D599" i="13"/>
  <c r="C599" i="13"/>
  <c r="B599" i="13"/>
  <c r="A599" i="13"/>
  <c r="L105" i="13"/>
  <c r="K105" i="13"/>
  <c r="I105" i="13"/>
  <c r="H105" i="13"/>
  <c r="G105" i="13"/>
  <c r="F105" i="13"/>
  <c r="D105" i="13"/>
  <c r="C105" i="13"/>
  <c r="B105" i="13"/>
  <c r="A105" i="13"/>
  <c r="L70" i="13"/>
  <c r="K70" i="13"/>
  <c r="I70" i="13"/>
  <c r="H70" i="13"/>
  <c r="G70" i="13"/>
  <c r="F70" i="13"/>
  <c r="D70" i="13"/>
  <c r="C70" i="13"/>
  <c r="B70" i="13"/>
  <c r="A70" i="13"/>
  <c r="L267" i="13"/>
  <c r="K267" i="13"/>
  <c r="I267" i="13"/>
  <c r="H267" i="13"/>
  <c r="G267" i="13"/>
  <c r="F267" i="13"/>
  <c r="D267" i="13"/>
  <c r="C267" i="13"/>
  <c r="B267" i="13"/>
  <c r="A267" i="13"/>
  <c r="L374" i="13"/>
  <c r="K374" i="13"/>
  <c r="I374" i="13"/>
  <c r="H374" i="13"/>
  <c r="G374" i="13"/>
  <c r="F374" i="13"/>
  <c r="D374" i="13"/>
  <c r="C374" i="13"/>
  <c r="B374" i="13"/>
  <c r="A374" i="13"/>
  <c r="L509" i="13"/>
  <c r="K509" i="13"/>
  <c r="I509" i="13"/>
  <c r="H509" i="13"/>
  <c r="G509" i="13"/>
  <c r="F509" i="13"/>
  <c r="D509" i="13"/>
  <c r="C509" i="13"/>
  <c r="B509" i="13"/>
  <c r="A509" i="13"/>
  <c r="L409" i="13"/>
  <c r="K409" i="13"/>
  <c r="I409" i="13"/>
  <c r="H409" i="13"/>
  <c r="G409" i="13"/>
  <c r="F409" i="13"/>
  <c r="D409" i="13"/>
  <c r="C409" i="13"/>
  <c r="B409" i="13"/>
  <c r="A409" i="13"/>
  <c r="L5" i="13"/>
  <c r="K5" i="13"/>
  <c r="I5" i="13"/>
  <c r="H5" i="13"/>
  <c r="G5" i="13"/>
  <c r="F5" i="13"/>
  <c r="D5" i="13"/>
  <c r="C5" i="13"/>
  <c r="B5" i="13"/>
  <c r="A5" i="13"/>
  <c r="L38" i="13"/>
  <c r="K38" i="13"/>
  <c r="I38" i="13"/>
  <c r="H38" i="13"/>
  <c r="G38" i="13"/>
  <c r="F38" i="13"/>
  <c r="D38" i="13"/>
  <c r="B38" i="13"/>
  <c r="A38" i="13"/>
  <c r="L464" i="13"/>
  <c r="K464" i="13"/>
  <c r="I464" i="13"/>
  <c r="H464" i="13"/>
  <c r="G464" i="13"/>
  <c r="F464" i="13"/>
  <c r="D464" i="13"/>
  <c r="C464" i="13"/>
  <c r="B464" i="13"/>
  <c r="A464" i="13"/>
  <c r="L189" i="13"/>
  <c r="K189" i="13"/>
  <c r="I189" i="13"/>
  <c r="H189" i="13"/>
  <c r="G189" i="13"/>
  <c r="F189" i="13"/>
  <c r="D189" i="13"/>
  <c r="C189" i="13"/>
  <c r="B189" i="13"/>
  <c r="A189" i="13"/>
  <c r="L575" i="13"/>
  <c r="K575" i="13"/>
  <c r="I575" i="13"/>
  <c r="H575" i="13"/>
  <c r="G575" i="13"/>
  <c r="F575" i="13"/>
  <c r="D575" i="13"/>
  <c r="C575" i="13"/>
  <c r="B575" i="13"/>
  <c r="A575" i="13"/>
  <c r="L232" i="13"/>
  <c r="K232" i="13"/>
  <c r="I232" i="13"/>
  <c r="H232" i="13"/>
  <c r="G232" i="13"/>
  <c r="F232" i="13"/>
  <c r="D232" i="13"/>
  <c r="C232" i="13"/>
  <c r="B232" i="13"/>
  <c r="A232" i="13"/>
  <c r="L462" i="13"/>
  <c r="K462" i="13"/>
  <c r="I462" i="13"/>
  <c r="H462" i="13"/>
  <c r="G462" i="13"/>
  <c r="F462" i="13"/>
  <c r="D462" i="13"/>
  <c r="C462" i="13"/>
  <c r="B462" i="13"/>
  <c r="A462" i="13"/>
  <c r="L100" i="13"/>
  <c r="K100" i="13"/>
  <c r="I100" i="13"/>
  <c r="H100" i="13"/>
  <c r="G100" i="13"/>
  <c r="F100" i="13"/>
  <c r="D100" i="13"/>
  <c r="C100" i="13"/>
  <c r="B100" i="13"/>
  <c r="A100" i="13"/>
  <c r="L97" i="13"/>
  <c r="K97" i="13"/>
  <c r="I97" i="13"/>
  <c r="H97" i="13"/>
  <c r="G97" i="13"/>
  <c r="F97" i="13"/>
  <c r="D97" i="13"/>
  <c r="C97" i="13"/>
  <c r="B97" i="13"/>
  <c r="A97" i="13"/>
  <c r="L225" i="13"/>
  <c r="K225" i="13"/>
  <c r="I225" i="13"/>
  <c r="H225" i="13"/>
  <c r="G225" i="13"/>
  <c r="F225" i="13"/>
  <c r="D225" i="13"/>
  <c r="C225" i="13"/>
  <c r="B225" i="13"/>
  <c r="A225" i="13"/>
  <c r="L241" i="13"/>
  <c r="K241" i="13"/>
  <c r="I241" i="13"/>
  <c r="H241" i="13"/>
  <c r="G241" i="13"/>
  <c r="F241" i="13"/>
  <c r="D241" i="13"/>
  <c r="C241" i="13"/>
  <c r="B241" i="13"/>
  <c r="A241" i="13"/>
  <c r="L39" i="13"/>
  <c r="K39" i="13"/>
  <c r="I39" i="13"/>
  <c r="H39" i="13"/>
  <c r="G39" i="13"/>
  <c r="F39" i="13"/>
  <c r="D39" i="13"/>
  <c r="C39" i="13"/>
  <c r="B39" i="13"/>
  <c r="A39" i="13"/>
  <c r="L143" i="13"/>
  <c r="K143" i="13"/>
  <c r="I143" i="13"/>
  <c r="H143" i="13"/>
  <c r="G143" i="13"/>
  <c r="F143" i="13"/>
  <c r="D143" i="13"/>
  <c r="C143" i="13"/>
  <c r="B143" i="13"/>
  <c r="A143" i="13"/>
  <c r="L65" i="13"/>
  <c r="K65" i="13"/>
  <c r="I65" i="13"/>
  <c r="H65" i="13"/>
  <c r="G65" i="13"/>
  <c r="F65" i="13"/>
  <c r="D65" i="13"/>
  <c r="C65" i="13"/>
  <c r="B65" i="13"/>
  <c r="A65" i="13"/>
  <c r="L47" i="13"/>
  <c r="K47" i="13"/>
  <c r="I47" i="13"/>
  <c r="H47" i="13"/>
  <c r="G47" i="13"/>
  <c r="F47" i="13"/>
  <c r="D47" i="13"/>
  <c r="C47" i="13"/>
  <c r="B47" i="13"/>
  <c r="A47" i="13"/>
  <c r="L209" i="13"/>
  <c r="K209" i="13"/>
  <c r="I209" i="13"/>
  <c r="H209" i="13"/>
  <c r="G209" i="13"/>
  <c r="F209" i="13"/>
  <c r="D209" i="13"/>
  <c r="C209" i="13"/>
  <c r="B209" i="13"/>
  <c r="A209" i="13"/>
  <c r="K686" i="13"/>
  <c r="I686" i="13"/>
  <c r="H686" i="13"/>
  <c r="G686" i="13"/>
  <c r="F686" i="13"/>
  <c r="D686" i="13"/>
  <c r="C686" i="13"/>
  <c r="B686" i="13"/>
  <c r="A686" i="13"/>
  <c r="L572" i="13"/>
  <c r="K572" i="13"/>
  <c r="I572" i="13"/>
  <c r="H572" i="13"/>
  <c r="G572" i="13"/>
  <c r="F572" i="13"/>
  <c r="D572" i="13"/>
  <c r="C572" i="13"/>
  <c r="B572" i="13"/>
  <c r="A572" i="13"/>
  <c r="L544" i="13"/>
  <c r="K544" i="13"/>
  <c r="I544" i="13"/>
  <c r="H544" i="13"/>
  <c r="G544" i="13"/>
  <c r="F544" i="13"/>
  <c r="D544" i="13"/>
  <c r="C544" i="13"/>
  <c r="B544" i="13"/>
  <c r="A544" i="13"/>
  <c r="K681" i="13"/>
  <c r="I681" i="13"/>
  <c r="H681" i="13"/>
  <c r="G681" i="13"/>
  <c r="F681" i="13"/>
  <c r="D681" i="13"/>
  <c r="C681" i="13"/>
  <c r="B681" i="13"/>
  <c r="A681" i="13"/>
  <c r="L645" i="13"/>
  <c r="K645" i="13"/>
  <c r="I645" i="13"/>
  <c r="H645" i="13"/>
  <c r="G645" i="13"/>
  <c r="F645" i="13"/>
  <c r="D645" i="13"/>
  <c r="C645" i="13"/>
  <c r="B645" i="13"/>
  <c r="A645" i="13"/>
  <c r="L570" i="13"/>
  <c r="K570" i="13"/>
  <c r="I570" i="13"/>
  <c r="H570" i="13"/>
  <c r="G570" i="13"/>
  <c r="F570" i="13"/>
  <c r="D570" i="13"/>
  <c r="C570" i="13"/>
  <c r="B570" i="13"/>
  <c r="A570" i="13"/>
  <c r="L477" i="13"/>
  <c r="K477" i="13"/>
  <c r="I477" i="13"/>
  <c r="H477" i="13"/>
  <c r="G477" i="13"/>
  <c r="F477" i="13"/>
  <c r="D477" i="13"/>
  <c r="C477" i="13"/>
  <c r="B477" i="13"/>
  <c r="A477" i="13"/>
  <c r="L372" i="13"/>
  <c r="K372" i="13"/>
  <c r="I372" i="13"/>
  <c r="H372" i="13"/>
  <c r="G372" i="13"/>
  <c r="F372" i="13"/>
  <c r="D372" i="13"/>
  <c r="C372" i="13"/>
  <c r="B372" i="13"/>
  <c r="A372" i="13"/>
  <c r="L48" i="13"/>
  <c r="K48" i="13"/>
  <c r="I48" i="13"/>
  <c r="H48" i="13"/>
  <c r="G48" i="13"/>
  <c r="F48" i="13"/>
  <c r="D48" i="13"/>
  <c r="C48" i="13"/>
  <c r="B48" i="13"/>
  <c r="A48" i="13"/>
  <c r="L158" i="13"/>
  <c r="K158" i="13"/>
  <c r="I158" i="13"/>
  <c r="H158" i="13"/>
  <c r="G158" i="13"/>
  <c r="F158" i="13"/>
  <c r="D158" i="13"/>
  <c r="C158" i="13"/>
  <c r="B158" i="13"/>
  <c r="A158" i="13"/>
  <c r="L513" i="13"/>
  <c r="K513" i="13"/>
  <c r="I513" i="13"/>
  <c r="H513" i="13"/>
  <c r="G513" i="13"/>
  <c r="F513" i="13"/>
  <c r="D513" i="13"/>
  <c r="C513" i="13"/>
  <c r="B513" i="13"/>
  <c r="A513" i="13"/>
  <c r="L148" i="13"/>
  <c r="K148" i="13"/>
  <c r="I148" i="13"/>
  <c r="H148" i="13"/>
  <c r="G148" i="13"/>
  <c r="F148" i="13"/>
  <c r="D148" i="13"/>
  <c r="C148" i="13"/>
  <c r="B148" i="13"/>
  <c r="A148" i="13"/>
  <c r="K693" i="13"/>
  <c r="I693" i="13"/>
  <c r="H693" i="13"/>
  <c r="G693" i="13"/>
  <c r="F693" i="13"/>
  <c r="D693" i="13"/>
  <c r="C693" i="13"/>
  <c r="B693" i="13"/>
  <c r="A693" i="13"/>
  <c r="K139" i="13"/>
  <c r="I139" i="13"/>
  <c r="H139" i="13"/>
  <c r="G139" i="13"/>
  <c r="F139" i="13"/>
  <c r="D139" i="13"/>
  <c r="C139" i="13"/>
  <c r="B139" i="13"/>
  <c r="A139" i="13"/>
  <c r="L292" i="13"/>
  <c r="K292" i="13"/>
  <c r="I292" i="13"/>
  <c r="H292" i="13"/>
  <c r="G292" i="13"/>
  <c r="F292" i="13"/>
  <c r="D292" i="13"/>
  <c r="C292" i="13"/>
  <c r="B292" i="13"/>
  <c r="A292" i="13"/>
  <c r="L74" i="13"/>
  <c r="K74" i="13"/>
  <c r="I74" i="13"/>
  <c r="H74" i="13"/>
  <c r="G74" i="13"/>
  <c r="F74" i="13"/>
  <c r="D74" i="13"/>
  <c r="C74" i="13"/>
  <c r="B74" i="13"/>
  <c r="A74" i="13"/>
  <c r="L208" i="13"/>
  <c r="K208" i="13"/>
  <c r="I208" i="13"/>
  <c r="H208" i="13"/>
  <c r="G208" i="13"/>
  <c r="F208" i="13"/>
  <c r="D208" i="13"/>
  <c r="C208" i="13"/>
  <c r="B208" i="13"/>
  <c r="A208" i="13"/>
  <c r="L445" i="13"/>
  <c r="K445" i="13"/>
  <c r="I445" i="13"/>
  <c r="H445" i="13"/>
  <c r="G445" i="13"/>
  <c r="F445" i="13"/>
  <c r="D445" i="13"/>
  <c r="C445" i="13"/>
  <c r="B445" i="13"/>
  <c r="A445" i="13"/>
  <c r="L32" i="13"/>
  <c r="K32" i="13"/>
  <c r="I32" i="13"/>
  <c r="H32" i="13"/>
  <c r="G32" i="13"/>
  <c r="F32" i="13"/>
  <c r="D32" i="13"/>
  <c r="C32" i="13"/>
  <c r="B32" i="13"/>
  <c r="A32" i="13"/>
  <c r="L9" i="13"/>
  <c r="K9" i="13"/>
  <c r="I9" i="13"/>
  <c r="H9" i="13"/>
  <c r="G9" i="13"/>
  <c r="F9" i="13"/>
  <c r="D9" i="13"/>
  <c r="C9" i="13"/>
  <c r="B9" i="13"/>
  <c r="A9" i="13"/>
  <c r="L73" i="13"/>
  <c r="K73" i="13"/>
  <c r="I73" i="13"/>
  <c r="H73" i="13"/>
  <c r="G73" i="13"/>
  <c r="F73" i="13"/>
  <c r="D73" i="13"/>
  <c r="C73" i="13"/>
  <c r="B73" i="13"/>
  <c r="A73" i="13"/>
  <c r="L400" i="13"/>
  <c r="K400" i="13"/>
  <c r="I400" i="13"/>
  <c r="H400" i="13"/>
  <c r="G400" i="13"/>
  <c r="F400" i="13"/>
  <c r="D400" i="13"/>
  <c r="C400" i="13"/>
  <c r="B400" i="13"/>
  <c r="A400" i="13"/>
  <c r="L388" i="13"/>
  <c r="K388" i="13"/>
  <c r="I388" i="13"/>
  <c r="H388" i="13"/>
  <c r="G388" i="13"/>
  <c r="F388" i="13"/>
  <c r="D388" i="13"/>
  <c r="C388" i="13"/>
  <c r="B388" i="13"/>
  <c r="A388" i="13"/>
  <c r="L450" i="13"/>
  <c r="K450" i="13"/>
  <c r="I450" i="13"/>
  <c r="H450" i="13"/>
  <c r="G450" i="13"/>
  <c r="F450" i="13"/>
  <c r="D450" i="13"/>
  <c r="C450" i="13"/>
  <c r="B450" i="13"/>
  <c r="A450" i="13"/>
  <c r="L387" i="13"/>
  <c r="K387" i="13"/>
  <c r="I387" i="13"/>
  <c r="H387" i="13"/>
  <c r="G387" i="13"/>
  <c r="F387" i="13"/>
  <c r="D387" i="13"/>
  <c r="C387" i="13"/>
  <c r="B387" i="13"/>
  <c r="A387" i="13"/>
  <c r="L458" i="13"/>
  <c r="K458" i="13"/>
  <c r="I458" i="13"/>
  <c r="H458" i="13"/>
  <c r="G458" i="13"/>
  <c r="F458" i="13"/>
  <c r="D458" i="13"/>
  <c r="C458" i="13"/>
  <c r="B458" i="13"/>
  <c r="A458" i="13"/>
  <c r="L527" i="13"/>
  <c r="K527" i="13"/>
  <c r="I527" i="13"/>
  <c r="H527" i="13"/>
  <c r="G527" i="13"/>
  <c r="F527" i="13"/>
  <c r="D527" i="13"/>
  <c r="C527" i="13"/>
  <c r="B527" i="13"/>
  <c r="A527" i="13"/>
  <c r="L287" i="13"/>
  <c r="K287" i="13"/>
  <c r="I287" i="13"/>
  <c r="H287" i="13"/>
  <c r="G287" i="13"/>
  <c r="F287" i="13"/>
  <c r="D287" i="13"/>
  <c r="C287" i="13"/>
  <c r="B287" i="13"/>
  <c r="A287" i="13"/>
  <c r="L61" i="13"/>
  <c r="K61" i="13"/>
  <c r="I61" i="13"/>
  <c r="H61" i="13"/>
  <c r="G61" i="13"/>
  <c r="F61" i="13"/>
  <c r="D61" i="13"/>
  <c r="C61" i="13"/>
  <c r="B61" i="13"/>
  <c r="A61" i="13"/>
  <c r="L75" i="13"/>
  <c r="K75" i="13"/>
  <c r="I75" i="13"/>
  <c r="H75" i="13"/>
  <c r="G75" i="13"/>
  <c r="F75" i="13"/>
  <c r="D75" i="13"/>
  <c r="C75" i="13"/>
  <c r="B75" i="13"/>
  <c r="A75" i="13"/>
  <c r="L432" i="13"/>
  <c r="K432" i="13"/>
  <c r="I432" i="13"/>
  <c r="H432" i="13"/>
  <c r="G432" i="13"/>
  <c r="F432" i="13"/>
  <c r="D432" i="13"/>
  <c r="C432" i="13"/>
  <c r="B432" i="13"/>
  <c r="A432" i="13"/>
  <c r="L503" i="13"/>
  <c r="K503" i="13"/>
  <c r="I503" i="13"/>
  <c r="H503" i="13"/>
  <c r="G503" i="13"/>
  <c r="F503" i="13"/>
  <c r="D503" i="13"/>
  <c r="C503" i="13"/>
  <c r="B503" i="13"/>
  <c r="A503" i="13"/>
  <c r="L165" i="13"/>
  <c r="K165" i="13"/>
  <c r="I165" i="13"/>
  <c r="H165" i="13"/>
  <c r="G165" i="13"/>
  <c r="F165" i="13"/>
  <c r="D165" i="13"/>
  <c r="C165" i="13"/>
  <c r="B165" i="13"/>
  <c r="A165" i="13"/>
  <c r="L147" i="13"/>
  <c r="K147" i="13"/>
  <c r="I147" i="13"/>
  <c r="H147" i="13"/>
  <c r="G147" i="13"/>
  <c r="F147" i="13"/>
  <c r="D147" i="13"/>
  <c r="C147" i="13"/>
  <c r="B147" i="13"/>
  <c r="A147" i="13"/>
  <c r="L193" i="13"/>
  <c r="K193" i="13"/>
  <c r="I193" i="13"/>
  <c r="H193" i="13"/>
  <c r="G193" i="13"/>
  <c r="F193" i="13"/>
  <c r="D193" i="13"/>
  <c r="C193" i="13"/>
  <c r="B193" i="13"/>
  <c r="A193" i="13"/>
  <c r="L360" i="13"/>
  <c r="K360" i="13"/>
  <c r="I360" i="13"/>
  <c r="H360" i="13"/>
  <c r="G360" i="13"/>
  <c r="F360" i="13"/>
  <c r="D360" i="13"/>
  <c r="C360" i="13"/>
  <c r="B360" i="13"/>
  <c r="A360" i="13"/>
  <c r="L167" i="13"/>
  <c r="K167" i="13"/>
  <c r="I167" i="13"/>
  <c r="H167" i="13"/>
  <c r="G167" i="13"/>
  <c r="F167" i="13"/>
  <c r="D167" i="13"/>
  <c r="C167" i="13"/>
  <c r="B167" i="13"/>
  <c r="A167" i="13"/>
  <c r="L311" i="13"/>
  <c r="K311" i="13"/>
  <c r="I311" i="13"/>
  <c r="H311" i="13"/>
  <c r="G311" i="13"/>
  <c r="F311" i="13"/>
  <c r="D311" i="13"/>
  <c r="C311" i="13"/>
  <c r="B311" i="13"/>
  <c r="A311" i="13"/>
  <c r="L107" i="13"/>
  <c r="K107" i="13"/>
  <c r="I107" i="13"/>
  <c r="H107" i="13"/>
  <c r="G107" i="13"/>
  <c r="F107" i="13"/>
  <c r="D107" i="13"/>
  <c r="C107" i="13"/>
  <c r="B107" i="13"/>
  <c r="A107" i="13"/>
  <c r="L154" i="13"/>
  <c r="K154" i="13"/>
  <c r="I154" i="13"/>
  <c r="H154" i="13"/>
  <c r="G154" i="13"/>
  <c r="F154" i="13"/>
  <c r="D154" i="13"/>
  <c r="C154" i="13"/>
  <c r="B154" i="13"/>
  <c r="A154" i="13"/>
  <c r="L237" i="13"/>
  <c r="K237" i="13"/>
  <c r="I237" i="13"/>
  <c r="H237" i="13"/>
  <c r="G237" i="13"/>
  <c r="F237" i="13"/>
  <c r="D237" i="13"/>
  <c r="C237" i="13"/>
  <c r="B237" i="13"/>
  <c r="A237" i="13"/>
  <c r="L42" i="13"/>
  <c r="K42" i="13"/>
  <c r="I42" i="13"/>
  <c r="H42" i="13"/>
  <c r="G42" i="13"/>
  <c r="F42" i="13"/>
  <c r="D42" i="13"/>
  <c r="C42" i="13"/>
  <c r="B42" i="13"/>
  <c r="A42" i="13"/>
  <c r="L469" i="13"/>
  <c r="K469" i="13"/>
  <c r="I469" i="13"/>
  <c r="H469" i="13"/>
  <c r="G469" i="13"/>
  <c r="F469" i="13"/>
  <c r="D469" i="13"/>
  <c r="C469" i="13"/>
  <c r="B469" i="13"/>
  <c r="A469" i="13"/>
  <c r="L181" i="13"/>
  <c r="K181" i="13"/>
  <c r="I181" i="13"/>
  <c r="H181" i="13"/>
  <c r="F181" i="13"/>
  <c r="D181" i="13"/>
  <c r="C181" i="13"/>
  <c r="B181" i="13"/>
  <c r="A181" i="13"/>
  <c r="L330" i="13"/>
  <c r="K330" i="13"/>
  <c r="I330" i="13"/>
  <c r="H330" i="13"/>
  <c r="G330" i="13"/>
  <c r="F330" i="13"/>
  <c r="D330" i="13"/>
  <c r="C330" i="13"/>
  <c r="B330" i="13"/>
  <c r="A330" i="13"/>
  <c r="L591" i="13"/>
  <c r="K591" i="13"/>
  <c r="I591" i="13"/>
  <c r="H591" i="13"/>
  <c r="G591" i="13"/>
  <c r="F591" i="13"/>
  <c r="D591" i="13"/>
  <c r="C591" i="13"/>
  <c r="B591" i="13"/>
  <c r="A591" i="13"/>
  <c r="L590" i="13"/>
  <c r="K590" i="13"/>
  <c r="I590" i="13"/>
  <c r="H590" i="13"/>
  <c r="G590" i="13"/>
  <c r="F590" i="13"/>
  <c r="D590" i="13"/>
  <c r="C590" i="13"/>
  <c r="B590" i="13"/>
  <c r="A590" i="13"/>
  <c r="L328" i="13"/>
  <c r="K328" i="13"/>
  <c r="I328" i="13"/>
  <c r="H328" i="13"/>
  <c r="G328" i="13"/>
  <c r="F328" i="13"/>
  <c r="D328" i="13"/>
  <c r="C328" i="13"/>
  <c r="B328" i="13"/>
  <c r="A328" i="13"/>
  <c r="L150" i="13"/>
  <c r="K150" i="13"/>
  <c r="I150" i="13"/>
  <c r="H150" i="13"/>
  <c r="G150" i="13"/>
  <c r="F150" i="13"/>
  <c r="D150" i="13"/>
  <c r="C150" i="13"/>
  <c r="B150" i="13"/>
  <c r="A150" i="13"/>
  <c r="L442" i="13"/>
  <c r="K442" i="13"/>
  <c r="I442" i="13"/>
  <c r="H442" i="13"/>
  <c r="G442" i="13"/>
  <c r="F442" i="13"/>
  <c r="D442" i="13"/>
  <c r="C442" i="13"/>
  <c r="B442" i="13"/>
  <c r="A442" i="13"/>
  <c r="L322" i="13"/>
  <c r="K322" i="13"/>
  <c r="I322" i="13"/>
  <c r="H322" i="13"/>
  <c r="G322" i="13"/>
  <c r="F322" i="13"/>
  <c r="D322" i="13"/>
  <c r="C322" i="13"/>
  <c r="B322" i="13"/>
  <c r="A322" i="13"/>
  <c r="L20" i="13"/>
  <c r="K20" i="13"/>
  <c r="I20" i="13"/>
  <c r="H20" i="13"/>
  <c r="G20" i="13"/>
  <c r="F20" i="13"/>
  <c r="D20" i="13"/>
  <c r="C20" i="13"/>
  <c r="B20" i="13"/>
  <c r="A20" i="13"/>
  <c r="L525" i="13"/>
  <c r="K525" i="13"/>
  <c r="I525" i="13"/>
  <c r="H525" i="13"/>
  <c r="G525" i="13"/>
  <c r="F525" i="13"/>
  <c r="D525" i="13"/>
  <c r="C525" i="13"/>
  <c r="B525" i="13"/>
  <c r="A525" i="13"/>
  <c r="L543" i="13"/>
  <c r="K543" i="13"/>
  <c r="I543" i="13"/>
  <c r="H543" i="13"/>
  <c r="G543" i="13"/>
  <c r="F543" i="13"/>
  <c r="D543" i="13"/>
  <c r="C543" i="13"/>
  <c r="B543" i="13"/>
  <c r="A543" i="13"/>
  <c r="L367" i="13"/>
  <c r="K367" i="13"/>
  <c r="I367" i="13"/>
  <c r="H367" i="13"/>
  <c r="G367" i="13"/>
  <c r="F367" i="13"/>
  <c r="D367" i="13"/>
  <c r="C367" i="13"/>
  <c r="B367" i="13"/>
  <c r="A367" i="13"/>
  <c r="L426" i="13"/>
  <c r="K426" i="13"/>
  <c r="I426" i="13"/>
  <c r="H426" i="13"/>
  <c r="G426" i="13"/>
  <c r="F426" i="13"/>
  <c r="D426" i="13"/>
  <c r="C426" i="13"/>
  <c r="B426" i="13"/>
  <c r="A426" i="13"/>
  <c r="L243" i="13"/>
  <c r="K243" i="13"/>
  <c r="I243" i="13"/>
  <c r="H243" i="13"/>
  <c r="G243" i="13"/>
  <c r="F243" i="13"/>
  <c r="D243" i="13"/>
  <c r="C243" i="13"/>
  <c r="B243" i="13"/>
  <c r="A243" i="13"/>
  <c r="L507" i="13"/>
  <c r="K507" i="13"/>
  <c r="I507" i="13"/>
  <c r="H507" i="13"/>
  <c r="G507" i="13"/>
  <c r="F507" i="13"/>
  <c r="D507" i="13"/>
  <c r="C507" i="13"/>
  <c r="B507" i="13"/>
  <c r="A507" i="13"/>
  <c r="L113" i="13"/>
  <c r="K113" i="13"/>
  <c r="I113" i="13"/>
  <c r="H113" i="13"/>
  <c r="G113" i="13"/>
  <c r="F113" i="13"/>
  <c r="D113" i="13"/>
  <c r="C113" i="13"/>
  <c r="B113" i="13"/>
  <c r="A113" i="13"/>
  <c r="L514" i="13"/>
  <c r="K514" i="13"/>
  <c r="I514" i="13"/>
  <c r="H514" i="13"/>
  <c r="G514" i="13"/>
  <c r="F514" i="13"/>
  <c r="D514" i="13"/>
  <c r="C514" i="13"/>
  <c r="B514" i="13"/>
  <c r="A514" i="13"/>
  <c r="L495" i="13"/>
  <c r="K495" i="13"/>
  <c r="I495" i="13"/>
  <c r="H495" i="13"/>
  <c r="G495" i="13"/>
  <c r="F495" i="13"/>
  <c r="D495" i="13"/>
  <c r="C495" i="13"/>
  <c r="B495" i="13"/>
  <c r="A495" i="13"/>
  <c r="L310" i="13"/>
  <c r="K310" i="13"/>
  <c r="I310" i="13"/>
  <c r="H310" i="13"/>
  <c r="G310" i="13"/>
  <c r="F310" i="13"/>
  <c r="D310" i="13"/>
  <c r="C310" i="13"/>
  <c r="B310" i="13"/>
  <c r="A310" i="13"/>
  <c r="L301" i="13"/>
  <c r="K301" i="13"/>
  <c r="I301" i="13"/>
  <c r="H301" i="13"/>
  <c r="G301" i="13"/>
  <c r="F301" i="13"/>
  <c r="D301" i="13"/>
  <c r="C301" i="13"/>
  <c r="B301" i="13"/>
  <c r="A301" i="13"/>
  <c r="L653" i="13"/>
  <c r="K653" i="13"/>
  <c r="I653" i="13"/>
  <c r="H653" i="13"/>
  <c r="G653" i="13"/>
  <c r="F653" i="13"/>
  <c r="D653" i="13"/>
  <c r="C653" i="13"/>
  <c r="B653" i="13"/>
  <c r="A653" i="13"/>
  <c r="L326" i="13"/>
  <c r="K326" i="13"/>
  <c r="I326" i="13"/>
  <c r="H326" i="13"/>
  <c r="G326" i="13"/>
  <c r="F326" i="13"/>
  <c r="D326" i="13"/>
  <c r="C326" i="13"/>
  <c r="B326" i="13"/>
  <c r="A326" i="13"/>
  <c r="L471" i="13"/>
  <c r="K471" i="13"/>
  <c r="I471" i="13"/>
  <c r="H471" i="13"/>
  <c r="G471" i="13"/>
  <c r="F471" i="13"/>
  <c r="D471" i="13"/>
  <c r="C471" i="13"/>
  <c r="B471" i="13"/>
  <c r="A471" i="13"/>
  <c r="L263" i="13"/>
  <c r="K263" i="13"/>
  <c r="I263" i="13"/>
  <c r="H263" i="13"/>
  <c r="G263" i="13"/>
  <c r="F263" i="13"/>
  <c r="D263" i="13"/>
  <c r="C263" i="13"/>
  <c r="B263" i="13"/>
  <c r="A263" i="13"/>
  <c r="L518" i="13"/>
  <c r="K518" i="13"/>
  <c r="I518" i="13"/>
  <c r="H518" i="13"/>
  <c r="G518" i="13"/>
  <c r="F518" i="13"/>
  <c r="D518" i="13"/>
  <c r="C518" i="13"/>
  <c r="B518" i="13"/>
  <c r="A518" i="13"/>
  <c r="L384" i="13"/>
  <c r="K384" i="13"/>
  <c r="I384" i="13"/>
  <c r="H384" i="13"/>
  <c r="G384" i="13"/>
  <c r="F384" i="13"/>
  <c r="D384" i="13"/>
  <c r="C384" i="13"/>
  <c r="B384" i="13"/>
  <c r="A384" i="13"/>
  <c r="L214" i="13"/>
  <c r="K214" i="13"/>
  <c r="I214" i="13"/>
  <c r="H214" i="13"/>
  <c r="G214" i="13"/>
  <c r="F214" i="13"/>
  <c r="D214" i="13"/>
  <c r="C214" i="13"/>
  <c r="B214" i="13"/>
  <c r="A214" i="13"/>
  <c r="L556" i="13"/>
  <c r="K556" i="13"/>
  <c r="I556" i="13"/>
  <c r="H556" i="13"/>
  <c r="G556" i="13"/>
  <c r="F556" i="13"/>
  <c r="D556" i="13"/>
  <c r="C556" i="13"/>
  <c r="B556" i="13"/>
  <c r="A556" i="13"/>
  <c r="L402" i="13"/>
  <c r="K402" i="13"/>
  <c r="I402" i="13"/>
  <c r="H402" i="13"/>
  <c r="G402" i="13"/>
  <c r="F402" i="13"/>
  <c r="D402" i="13"/>
  <c r="C402" i="13"/>
  <c r="B402" i="13"/>
  <c r="A402" i="13"/>
  <c r="L578" i="13"/>
  <c r="K578" i="13"/>
  <c r="I578" i="13"/>
  <c r="H578" i="13"/>
  <c r="G578" i="13"/>
  <c r="F578" i="13"/>
  <c r="D578" i="13"/>
  <c r="C578" i="13"/>
  <c r="B578" i="13"/>
  <c r="A578" i="13"/>
  <c r="L256" i="13"/>
  <c r="K256" i="13"/>
  <c r="I256" i="13"/>
  <c r="H256" i="13"/>
  <c r="G256" i="13"/>
  <c r="F256" i="13"/>
  <c r="D256" i="13"/>
  <c r="C256" i="13"/>
  <c r="B256" i="13"/>
  <c r="A256" i="13"/>
  <c r="I635" i="13"/>
  <c r="H635" i="13"/>
  <c r="G635" i="13"/>
  <c r="F635" i="13"/>
  <c r="D635" i="13"/>
  <c r="C635" i="13"/>
  <c r="B635" i="13"/>
  <c r="A635" i="13"/>
  <c r="L296" i="13"/>
  <c r="K296" i="13"/>
  <c r="I296" i="13"/>
  <c r="H296" i="13"/>
  <c r="G296" i="13"/>
  <c r="F296" i="13"/>
  <c r="D296" i="13"/>
  <c r="C296" i="13"/>
  <c r="B296" i="13"/>
  <c r="A296" i="13"/>
  <c r="L485" i="13"/>
  <c r="K485" i="13"/>
  <c r="I485" i="13"/>
  <c r="H485" i="13"/>
  <c r="G485" i="13"/>
  <c r="F485" i="13"/>
  <c r="D485" i="13"/>
  <c r="C485" i="13"/>
  <c r="B485" i="13"/>
  <c r="A485" i="13"/>
  <c r="L593" i="13"/>
  <c r="K593" i="13"/>
  <c r="I593" i="13"/>
  <c r="H593" i="13"/>
  <c r="G593" i="13"/>
  <c r="F593" i="13"/>
  <c r="D593" i="13"/>
  <c r="C593" i="13"/>
  <c r="B593" i="13"/>
  <c r="A593" i="13"/>
  <c r="L162" i="13"/>
  <c r="K162" i="13"/>
  <c r="I162" i="13"/>
  <c r="H162" i="13"/>
  <c r="G162" i="13"/>
  <c r="F162" i="13"/>
  <c r="D162" i="13"/>
  <c r="C162" i="13"/>
  <c r="B162" i="13"/>
  <c r="A162" i="13"/>
  <c r="L547" i="13"/>
  <c r="K547" i="13"/>
  <c r="I547" i="13"/>
  <c r="H547" i="13"/>
  <c r="G547" i="13"/>
  <c r="F547" i="13"/>
  <c r="D547" i="13"/>
  <c r="C547" i="13"/>
  <c r="B547" i="13"/>
  <c r="A547" i="13"/>
  <c r="L94" i="13"/>
  <c r="K94" i="13"/>
  <c r="I94" i="13"/>
  <c r="H94" i="13"/>
  <c r="G94" i="13"/>
  <c r="F94" i="13"/>
  <c r="D94" i="13"/>
  <c r="C94" i="13"/>
  <c r="B94" i="13"/>
  <c r="A94" i="13"/>
  <c r="L461" i="13"/>
  <c r="K461" i="13"/>
  <c r="I461" i="13"/>
  <c r="H461" i="13"/>
  <c r="G461" i="13"/>
  <c r="F461" i="13"/>
  <c r="D461" i="13"/>
  <c r="C461" i="13"/>
  <c r="B461" i="13"/>
  <c r="A461" i="13"/>
  <c r="L170" i="13"/>
  <c r="K170" i="13"/>
  <c r="I170" i="13"/>
  <c r="H170" i="13"/>
  <c r="G170" i="13"/>
  <c r="F170" i="13"/>
  <c r="D170" i="13"/>
  <c r="C170" i="13"/>
  <c r="B170" i="13"/>
  <c r="A170" i="13"/>
  <c r="L306" i="13"/>
  <c r="K306" i="13"/>
  <c r="I306" i="13"/>
  <c r="H306" i="13"/>
  <c r="G306" i="13"/>
  <c r="F306" i="13"/>
  <c r="D306" i="13"/>
  <c r="C306" i="13"/>
  <c r="B306" i="13"/>
  <c r="A306" i="13"/>
  <c r="L25" i="13"/>
  <c r="K25" i="13"/>
  <c r="I25" i="13"/>
  <c r="H25" i="13"/>
  <c r="G25" i="13"/>
  <c r="F25" i="13"/>
  <c r="D25" i="13"/>
  <c r="C25" i="13"/>
  <c r="B25" i="13"/>
  <c r="A25" i="13"/>
  <c r="L187" i="13"/>
  <c r="K187" i="13"/>
  <c r="I187" i="13"/>
  <c r="H187" i="13"/>
  <c r="G187" i="13"/>
  <c r="F187" i="13"/>
  <c r="D187" i="13"/>
  <c r="C187" i="13"/>
  <c r="B187" i="13"/>
  <c r="A187" i="13"/>
  <c r="L327" i="13"/>
  <c r="K327" i="13"/>
  <c r="I327" i="13"/>
  <c r="H327" i="13"/>
  <c r="G327" i="13"/>
  <c r="F327" i="13"/>
  <c r="D327" i="13"/>
  <c r="C327" i="13"/>
  <c r="B327" i="13"/>
  <c r="A327" i="13"/>
  <c r="L346" i="13"/>
  <c r="K346" i="13"/>
  <c r="I346" i="13"/>
  <c r="H346" i="13"/>
  <c r="G346" i="13"/>
  <c r="F346" i="13"/>
  <c r="D346" i="13"/>
  <c r="C346" i="13"/>
  <c r="B346" i="13"/>
  <c r="A346" i="13"/>
  <c r="L86" i="13"/>
  <c r="K86" i="13"/>
  <c r="I86" i="13"/>
  <c r="H86" i="13"/>
  <c r="G86" i="13"/>
  <c r="F86" i="13"/>
  <c r="D86" i="13"/>
  <c r="C86" i="13"/>
  <c r="B86" i="13"/>
  <c r="A86" i="13"/>
  <c r="L440" i="13"/>
  <c r="K440" i="13"/>
  <c r="I440" i="13"/>
  <c r="H440" i="13"/>
  <c r="G440" i="13"/>
  <c r="F440" i="13"/>
  <c r="D440" i="13"/>
  <c r="C440" i="13"/>
  <c r="B440" i="13"/>
  <c r="A440" i="13"/>
  <c r="L368" i="13"/>
  <c r="K368" i="13"/>
  <c r="I368" i="13"/>
  <c r="H368" i="13"/>
  <c r="G368" i="13"/>
  <c r="F368" i="13"/>
  <c r="D368" i="13"/>
  <c r="C368" i="13"/>
  <c r="B368" i="13"/>
  <c r="A368" i="13"/>
  <c r="K691" i="13"/>
  <c r="I691" i="13"/>
  <c r="H691" i="13"/>
  <c r="G691" i="13"/>
  <c r="F691" i="13"/>
  <c r="D691" i="13"/>
  <c r="C691" i="13"/>
  <c r="B691" i="13"/>
  <c r="A691" i="13"/>
  <c r="L3" i="13"/>
  <c r="K3" i="13"/>
  <c r="I3" i="13"/>
  <c r="H3" i="13"/>
  <c r="G3" i="13"/>
  <c r="F3" i="13"/>
  <c r="D3" i="13"/>
  <c r="C3" i="13"/>
  <c r="B3" i="13"/>
  <c r="A3" i="13"/>
  <c r="L230" i="13"/>
  <c r="K230" i="13"/>
  <c r="I230" i="13"/>
  <c r="H230" i="13"/>
  <c r="G230" i="13"/>
  <c r="F230" i="13"/>
  <c r="D230" i="13"/>
  <c r="C230" i="13"/>
  <c r="B230" i="13"/>
  <c r="A230" i="13"/>
  <c r="L319" i="13"/>
  <c r="K319" i="13"/>
  <c r="I319" i="13"/>
  <c r="H319" i="13"/>
  <c r="G319" i="13"/>
  <c r="F319" i="13"/>
  <c r="D319" i="13"/>
  <c r="C319" i="13"/>
  <c r="B319" i="13"/>
  <c r="A319" i="13"/>
  <c r="L637" i="13"/>
  <c r="K637" i="13"/>
  <c r="I637" i="13"/>
  <c r="H637" i="13"/>
  <c r="G637" i="13"/>
  <c r="F637" i="13"/>
  <c r="D637" i="13"/>
  <c r="C637" i="13"/>
  <c r="B637" i="13"/>
  <c r="A637" i="13"/>
  <c r="L557" i="13"/>
  <c r="K557" i="13"/>
  <c r="I557" i="13"/>
  <c r="H557" i="13"/>
  <c r="G557" i="13"/>
  <c r="F557" i="13"/>
  <c r="D557" i="13"/>
  <c r="C557" i="13"/>
  <c r="B557" i="13"/>
  <c r="A557" i="13"/>
  <c r="L85" i="13"/>
  <c r="K85" i="13"/>
  <c r="I85" i="13"/>
  <c r="H85" i="13"/>
  <c r="G85" i="13"/>
  <c r="F85" i="13"/>
  <c r="D85" i="13"/>
  <c r="C85" i="13"/>
  <c r="B85" i="13"/>
  <c r="A85" i="13"/>
  <c r="L430" i="13"/>
  <c r="K430" i="13"/>
  <c r="I430" i="13"/>
  <c r="H430" i="13"/>
  <c r="G430" i="13"/>
  <c r="F430" i="13"/>
  <c r="D430" i="13"/>
  <c r="C430" i="13"/>
  <c r="B430" i="13"/>
  <c r="A430" i="13"/>
  <c r="L28" i="13"/>
  <c r="K28" i="13"/>
  <c r="I28" i="13"/>
  <c r="H28" i="13"/>
  <c r="G28" i="13"/>
  <c r="F28" i="13"/>
  <c r="D28" i="13"/>
  <c r="C28" i="13"/>
  <c r="B28" i="13"/>
  <c r="A28" i="13"/>
  <c r="L116" i="13"/>
  <c r="K116" i="13"/>
  <c r="I116" i="13"/>
  <c r="H116" i="13"/>
  <c r="G116" i="13"/>
  <c r="F116" i="13"/>
  <c r="D116" i="13"/>
  <c r="C116" i="13"/>
  <c r="B116" i="13"/>
  <c r="A116" i="13"/>
  <c r="L79" i="13"/>
  <c r="K79" i="13"/>
  <c r="I79" i="13"/>
  <c r="H79" i="13"/>
  <c r="G79" i="13"/>
  <c r="F79" i="13"/>
  <c r="D79" i="13"/>
  <c r="C79" i="13"/>
  <c r="B79" i="13"/>
  <c r="A79" i="13"/>
  <c r="L188" i="13"/>
  <c r="K188" i="13"/>
  <c r="I188" i="13"/>
  <c r="H188" i="13"/>
  <c r="G188" i="13"/>
  <c r="F188" i="13"/>
  <c r="D188" i="13"/>
  <c r="C188" i="13"/>
  <c r="B188" i="13"/>
  <c r="A188" i="13"/>
  <c r="K682" i="13"/>
  <c r="I682" i="13"/>
  <c r="H682" i="13"/>
  <c r="G682" i="13"/>
  <c r="F682" i="13"/>
  <c r="D682" i="13"/>
  <c r="C682" i="13"/>
  <c r="B682" i="13"/>
  <c r="A682" i="13"/>
  <c r="L375" i="13"/>
  <c r="K375" i="13"/>
  <c r="I375" i="13"/>
  <c r="H375" i="13"/>
  <c r="G375" i="13"/>
  <c r="F375" i="13"/>
  <c r="D375" i="13"/>
  <c r="C375" i="13"/>
  <c r="B375" i="13"/>
  <c r="A375" i="13"/>
  <c r="L294" i="13"/>
  <c r="K294" i="13"/>
  <c r="I294" i="13"/>
  <c r="H294" i="13"/>
  <c r="G294" i="13"/>
  <c r="F294" i="13"/>
  <c r="D294" i="13"/>
  <c r="C294" i="13"/>
  <c r="B294" i="13"/>
  <c r="A294" i="13"/>
  <c r="L380" i="13"/>
  <c r="K380" i="13"/>
  <c r="I380" i="13"/>
  <c r="H380" i="13"/>
  <c r="G380" i="13"/>
  <c r="F380" i="13"/>
  <c r="D380" i="13"/>
  <c r="C380" i="13"/>
  <c r="B380" i="13"/>
  <c r="A380" i="13"/>
  <c r="L451" i="13"/>
  <c r="K451" i="13"/>
  <c r="I451" i="13"/>
  <c r="H451" i="13"/>
  <c r="G451" i="13"/>
  <c r="F451" i="13"/>
  <c r="D451" i="13"/>
  <c r="C451" i="13"/>
  <c r="B451" i="13"/>
  <c r="A451" i="13"/>
  <c r="L549" i="13"/>
  <c r="K549" i="13"/>
  <c r="I549" i="13"/>
  <c r="H549" i="13"/>
  <c r="G549" i="13"/>
  <c r="F549" i="13"/>
  <c r="D549" i="13"/>
  <c r="C549" i="13"/>
  <c r="B549" i="13"/>
  <c r="A549" i="13"/>
  <c r="K156" i="13"/>
  <c r="I156" i="13"/>
  <c r="H156" i="13"/>
  <c r="G156" i="13"/>
  <c r="F156" i="13"/>
  <c r="D156" i="13"/>
  <c r="C156" i="13"/>
  <c r="B156" i="13"/>
  <c r="A156" i="13"/>
  <c r="L52" i="13"/>
  <c r="K52" i="13"/>
  <c r="I52" i="13"/>
  <c r="H52" i="13"/>
  <c r="G52" i="13"/>
  <c r="F52" i="13"/>
  <c r="D52" i="13"/>
  <c r="C52" i="13"/>
  <c r="B52" i="13"/>
  <c r="A52" i="13"/>
  <c r="L408" i="13"/>
  <c r="K408" i="13"/>
  <c r="I408" i="13"/>
  <c r="H408" i="13"/>
  <c r="G408" i="13"/>
  <c r="F408" i="13"/>
  <c r="D408" i="13"/>
  <c r="C408" i="13"/>
  <c r="B408" i="13"/>
  <c r="A408" i="13"/>
  <c r="L318" i="13"/>
  <c r="K318" i="13"/>
  <c r="I318" i="13"/>
  <c r="H318" i="13"/>
  <c r="G318" i="13"/>
  <c r="F318" i="13"/>
  <c r="D318" i="13"/>
  <c r="C318" i="13"/>
  <c r="B318" i="13"/>
  <c r="A318" i="13"/>
  <c r="L31" i="13"/>
  <c r="K31" i="13"/>
  <c r="I31" i="13"/>
  <c r="H31" i="13"/>
  <c r="G31" i="13"/>
  <c r="F31" i="13"/>
  <c r="D31" i="13"/>
  <c r="C31" i="13"/>
  <c r="B31" i="13"/>
  <c r="A31" i="13"/>
  <c r="L169" i="13"/>
  <c r="K169" i="13"/>
  <c r="I169" i="13"/>
  <c r="H169" i="13"/>
  <c r="G169" i="13"/>
  <c r="F169" i="13"/>
  <c r="D169" i="13"/>
  <c r="C169" i="13"/>
  <c r="B169" i="13"/>
  <c r="A169" i="13"/>
  <c r="L21" i="13"/>
  <c r="K21" i="13"/>
  <c r="I21" i="13"/>
  <c r="H21" i="13"/>
  <c r="G21" i="13"/>
  <c r="F21" i="13"/>
  <c r="D21" i="13"/>
  <c r="C21" i="13"/>
  <c r="B21" i="13"/>
  <c r="A21" i="13"/>
  <c r="L474" i="13"/>
  <c r="K474" i="13"/>
  <c r="I474" i="13"/>
  <c r="H474" i="13"/>
  <c r="G474" i="13"/>
  <c r="F474" i="13"/>
  <c r="D474" i="13"/>
  <c r="C474" i="13"/>
  <c r="B474" i="13"/>
  <c r="A474" i="13"/>
  <c r="L434" i="13"/>
  <c r="K434" i="13"/>
  <c r="I434" i="13"/>
  <c r="H434" i="13"/>
  <c r="G434" i="13"/>
  <c r="F434" i="13"/>
  <c r="D434" i="13"/>
  <c r="C434" i="13"/>
  <c r="B434" i="13"/>
  <c r="A434" i="13"/>
  <c r="L492" i="13"/>
  <c r="K492" i="13"/>
  <c r="I492" i="13"/>
  <c r="H492" i="13"/>
  <c r="G492" i="13"/>
  <c r="F492" i="13"/>
  <c r="D492" i="13"/>
  <c r="C492" i="13"/>
  <c r="B492" i="13"/>
  <c r="A492" i="13"/>
  <c r="L347" i="13"/>
  <c r="K347" i="13"/>
  <c r="I347" i="13"/>
  <c r="H347" i="13"/>
  <c r="G347" i="13"/>
  <c r="F347" i="13"/>
  <c r="D347" i="13"/>
  <c r="C347" i="13"/>
  <c r="B347" i="13"/>
  <c r="A347" i="13"/>
  <c r="L194" i="13"/>
  <c r="K194" i="13"/>
  <c r="I194" i="13"/>
  <c r="H194" i="13"/>
  <c r="G194" i="13"/>
  <c r="F194" i="13"/>
  <c r="D194" i="13"/>
  <c r="C194" i="13"/>
  <c r="B194" i="13"/>
  <c r="A194" i="13"/>
  <c r="L457" i="13"/>
  <c r="K457" i="13"/>
  <c r="I457" i="13"/>
  <c r="H457" i="13"/>
  <c r="G457" i="13"/>
  <c r="F457" i="13"/>
  <c r="D457" i="13"/>
  <c r="C457" i="13"/>
  <c r="B457" i="13"/>
  <c r="A457" i="13"/>
  <c r="L41" i="13"/>
  <c r="K41" i="13"/>
  <c r="I41" i="13"/>
  <c r="H41" i="13"/>
  <c r="G41" i="13"/>
  <c r="F41" i="13"/>
  <c r="D41" i="13"/>
  <c r="C41" i="13"/>
  <c r="B41" i="13"/>
  <c r="A41" i="13"/>
  <c r="L632" i="13"/>
  <c r="K632" i="13"/>
  <c r="I632" i="13"/>
  <c r="H632" i="13"/>
  <c r="G632" i="13"/>
  <c r="F632" i="13"/>
  <c r="D632" i="13"/>
  <c r="C632" i="13"/>
  <c r="B632" i="13"/>
  <c r="A632" i="13"/>
  <c r="K696" i="13"/>
  <c r="I696" i="13"/>
  <c r="H696" i="13"/>
  <c r="G696" i="13"/>
  <c r="F696" i="13"/>
  <c r="D696" i="13"/>
  <c r="C696" i="13"/>
  <c r="B696" i="13"/>
  <c r="A696" i="13"/>
  <c r="L639" i="13"/>
  <c r="K639" i="13"/>
  <c r="I639" i="13"/>
  <c r="H639" i="13"/>
  <c r="G639" i="13"/>
  <c r="F639" i="13"/>
  <c r="D639" i="13"/>
  <c r="C639" i="13"/>
  <c r="B639" i="13"/>
  <c r="A639" i="13"/>
  <c r="L295" i="13"/>
  <c r="K295" i="13"/>
  <c r="I295" i="13"/>
  <c r="H295" i="13"/>
  <c r="G295" i="13"/>
  <c r="F295" i="13"/>
  <c r="D295" i="13"/>
  <c r="C295" i="13"/>
  <c r="B295" i="13"/>
  <c r="A295" i="13"/>
  <c r="L666" i="13"/>
  <c r="K666" i="13"/>
  <c r="I666" i="13"/>
  <c r="H666" i="13"/>
  <c r="G666" i="13"/>
  <c r="F666" i="13"/>
  <c r="D666" i="13"/>
  <c r="C666" i="13"/>
  <c r="B666" i="13"/>
  <c r="A666" i="13"/>
  <c r="L269" i="13"/>
  <c r="K269" i="13"/>
  <c r="I269" i="13"/>
  <c r="H269" i="13"/>
  <c r="G269" i="13"/>
  <c r="F269" i="13"/>
  <c r="D269" i="13"/>
  <c r="C269" i="13"/>
  <c r="B269" i="13"/>
  <c r="A269" i="13"/>
  <c r="L508" i="13"/>
  <c r="K508" i="13"/>
  <c r="I508" i="13"/>
  <c r="H508" i="13"/>
  <c r="G508" i="13"/>
  <c r="F508" i="13"/>
  <c r="D508" i="13"/>
  <c r="C508" i="13"/>
  <c r="B508" i="13"/>
  <c r="A508" i="13"/>
  <c r="L203" i="13"/>
  <c r="K203" i="13"/>
  <c r="I203" i="13"/>
  <c r="H203" i="13"/>
  <c r="G203" i="13"/>
  <c r="F203" i="13"/>
  <c r="D203" i="13"/>
  <c r="C203" i="13"/>
  <c r="B203" i="13"/>
  <c r="A203" i="13"/>
  <c r="L124" i="13"/>
  <c r="K124" i="13"/>
  <c r="I124" i="13"/>
  <c r="H124" i="13"/>
  <c r="G124" i="13"/>
  <c r="F124" i="13"/>
  <c r="D124" i="13"/>
  <c r="C124" i="13"/>
  <c r="B124" i="13"/>
  <c r="A124" i="13"/>
  <c r="L357" i="13"/>
  <c r="K357" i="13"/>
  <c r="I357" i="13"/>
  <c r="H357" i="13"/>
  <c r="G357" i="13"/>
  <c r="F357" i="13"/>
  <c r="D357" i="13"/>
  <c r="C357" i="13"/>
  <c r="B357" i="13"/>
  <c r="A357" i="13"/>
  <c r="L227" i="13"/>
  <c r="K227" i="13"/>
  <c r="I227" i="13"/>
  <c r="H227" i="13"/>
  <c r="G227" i="13"/>
  <c r="F227" i="13"/>
  <c r="D227" i="13"/>
  <c r="C227" i="13"/>
  <c r="B227" i="13"/>
  <c r="A227" i="13"/>
  <c r="L473" i="13"/>
  <c r="K473" i="13"/>
  <c r="I473" i="13"/>
  <c r="H473" i="13"/>
  <c r="G473" i="13"/>
  <c r="F473" i="13"/>
  <c r="D473" i="13"/>
  <c r="C473" i="13"/>
  <c r="B473" i="13"/>
  <c r="A473" i="13"/>
  <c r="L8" i="13"/>
  <c r="K8" i="13"/>
  <c r="I8" i="13"/>
  <c r="H8" i="13"/>
  <c r="G8" i="13"/>
  <c r="F8" i="13"/>
  <c r="D8" i="13"/>
  <c r="C8" i="13"/>
  <c r="B8" i="13"/>
  <c r="A8" i="13"/>
  <c r="L481" i="13"/>
  <c r="K481" i="13"/>
  <c r="I481" i="13"/>
  <c r="H481" i="13"/>
  <c r="G481" i="13"/>
  <c r="F481" i="13"/>
  <c r="D481" i="13"/>
  <c r="C481" i="13"/>
  <c r="B481" i="13"/>
  <c r="A481" i="13"/>
  <c r="L179" i="13"/>
  <c r="K179" i="13"/>
  <c r="I179" i="13"/>
  <c r="H179" i="13"/>
  <c r="G179" i="13"/>
  <c r="F179" i="13"/>
  <c r="D179" i="13"/>
  <c r="C179" i="13"/>
  <c r="B179" i="13"/>
  <c r="A179" i="13"/>
  <c r="L664" i="13"/>
  <c r="K664" i="13"/>
  <c r="I664" i="13"/>
  <c r="H664" i="13"/>
  <c r="G664" i="13"/>
  <c r="F664" i="13"/>
  <c r="D664" i="13"/>
  <c r="C664" i="13"/>
  <c r="B664" i="13"/>
  <c r="A664" i="13"/>
  <c r="L54" i="13"/>
  <c r="K54" i="13"/>
  <c r="I54" i="13"/>
  <c r="H54" i="13"/>
  <c r="G54" i="13"/>
  <c r="F54" i="13"/>
  <c r="D54" i="13"/>
  <c r="C54" i="13"/>
  <c r="B54" i="13"/>
  <c r="A54" i="13"/>
  <c r="L272" i="13"/>
  <c r="K272" i="13"/>
  <c r="I272" i="13"/>
  <c r="H272" i="13"/>
  <c r="G272" i="13"/>
  <c r="F272" i="13"/>
  <c r="D272" i="13"/>
  <c r="C272" i="13"/>
  <c r="B272" i="13"/>
  <c r="A272" i="13"/>
  <c r="L288" i="13"/>
  <c r="K288" i="13"/>
  <c r="I288" i="13"/>
  <c r="H288" i="13"/>
  <c r="G288" i="13"/>
  <c r="F288" i="13"/>
  <c r="D288" i="13"/>
  <c r="C288" i="13"/>
  <c r="B288" i="13"/>
  <c r="A288" i="13"/>
  <c r="K431" i="13"/>
  <c r="I431" i="13"/>
  <c r="H431" i="13"/>
  <c r="G431" i="13"/>
  <c r="F431" i="13"/>
  <c r="D431" i="13"/>
  <c r="C431" i="13"/>
  <c r="B431" i="13"/>
  <c r="A431" i="13"/>
  <c r="L340" i="13"/>
  <c r="K340" i="13"/>
  <c r="I340" i="13"/>
  <c r="H340" i="13"/>
  <c r="G340" i="13"/>
  <c r="F340" i="13"/>
  <c r="D340" i="13"/>
  <c r="C340" i="13"/>
  <c r="B340" i="13"/>
  <c r="A340" i="13"/>
  <c r="L270" i="13"/>
  <c r="K270" i="13"/>
  <c r="I270" i="13"/>
  <c r="H270" i="13"/>
  <c r="G270" i="13"/>
  <c r="F270" i="13"/>
  <c r="D270" i="13"/>
  <c r="C270" i="13"/>
  <c r="B270" i="13"/>
  <c r="A270" i="13"/>
  <c r="L487" i="13"/>
  <c r="K487" i="13"/>
  <c r="I487" i="13"/>
  <c r="H487" i="13"/>
  <c r="G487" i="13"/>
  <c r="F487" i="13"/>
  <c r="D487" i="13"/>
  <c r="C487" i="13"/>
  <c r="B487" i="13"/>
  <c r="A487" i="13"/>
  <c r="L122" i="13"/>
  <c r="K122" i="13"/>
  <c r="I122" i="13"/>
  <c r="H122" i="13"/>
  <c r="G122" i="13"/>
  <c r="F122" i="13"/>
  <c r="D122" i="13"/>
  <c r="C122" i="13"/>
  <c r="B122" i="13"/>
  <c r="A122" i="13"/>
  <c r="L26" i="13"/>
  <c r="K26" i="13"/>
  <c r="I26" i="13"/>
  <c r="H26" i="13"/>
  <c r="G26" i="13"/>
  <c r="F26" i="13"/>
  <c r="D26" i="13"/>
  <c r="C26" i="13"/>
  <c r="L302" i="13"/>
  <c r="K302" i="13"/>
  <c r="I302" i="13"/>
  <c r="H302" i="13"/>
  <c r="G302" i="13"/>
  <c r="F302" i="13"/>
  <c r="D302" i="13"/>
  <c r="C302" i="13"/>
  <c r="B302" i="13"/>
  <c r="A302" i="13"/>
  <c r="L449" i="13"/>
  <c r="K449" i="13"/>
  <c r="I449" i="13"/>
  <c r="H449" i="13"/>
  <c r="G449" i="13"/>
  <c r="F449" i="13"/>
  <c r="D449" i="13"/>
  <c r="C449" i="13"/>
  <c r="B449" i="13"/>
  <c r="A449" i="13"/>
  <c r="L297" i="13"/>
  <c r="K297" i="13"/>
  <c r="I297" i="13"/>
  <c r="H297" i="13"/>
  <c r="G297" i="13"/>
  <c r="F297" i="13"/>
  <c r="D297" i="13"/>
  <c r="C297" i="13"/>
  <c r="B297" i="13"/>
  <c r="A297" i="13"/>
  <c r="L479" i="13"/>
  <c r="K479" i="13"/>
  <c r="I479" i="13"/>
  <c r="H479" i="13"/>
  <c r="G479" i="13"/>
  <c r="F479" i="13"/>
  <c r="D479" i="13"/>
  <c r="C479" i="13"/>
  <c r="B479" i="13"/>
  <c r="A479" i="13"/>
  <c r="L629" i="13"/>
  <c r="K629" i="13"/>
  <c r="I629" i="13"/>
  <c r="H629" i="13"/>
  <c r="G629" i="13"/>
  <c r="F629" i="13"/>
  <c r="D629" i="13"/>
  <c r="C629" i="13"/>
  <c r="B629" i="13"/>
  <c r="A629" i="13"/>
  <c r="L276" i="13"/>
  <c r="K276" i="13"/>
  <c r="I276" i="13"/>
  <c r="H276" i="13"/>
  <c r="G276" i="13"/>
  <c r="F276" i="13"/>
  <c r="D276" i="13"/>
  <c r="C276" i="13"/>
  <c r="B276" i="13"/>
  <c r="A276" i="13"/>
  <c r="L144" i="13"/>
  <c r="K144" i="13"/>
  <c r="I144" i="13"/>
  <c r="H144" i="13"/>
  <c r="G144" i="13"/>
  <c r="F144" i="13"/>
  <c r="D144" i="13"/>
  <c r="C144" i="13"/>
  <c r="B144" i="13"/>
  <c r="A144" i="13"/>
  <c r="L151" i="13"/>
  <c r="K151" i="13"/>
  <c r="I151" i="13"/>
  <c r="H151" i="13"/>
  <c r="G151" i="13"/>
  <c r="F151" i="13"/>
  <c r="D151" i="13"/>
  <c r="C151" i="13"/>
  <c r="B151" i="13"/>
  <c r="A151" i="13"/>
  <c r="L7" i="13"/>
  <c r="K7" i="13"/>
  <c r="I7" i="13"/>
  <c r="H7" i="13"/>
  <c r="G7" i="13"/>
  <c r="F7" i="13"/>
  <c r="D7" i="13"/>
  <c r="C7" i="13"/>
  <c r="B7" i="13"/>
  <c r="A7" i="13"/>
  <c r="L69" i="13"/>
  <c r="K69" i="13"/>
  <c r="I69" i="13"/>
  <c r="H69" i="13"/>
  <c r="G69" i="13"/>
  <c r="F69" i="13"/>
  <c r="D69" i="13"/>
  <c r="C69" i="13"/>
  <c r="B69" i="13"/>
  <c r="A69" i="13"/>
  <c r="L132" i="13"/>
  <c r="K132" i="13"/>
  <c r="I132" i="13"/>
  <c r="H132" i="13"/>
  <c r="G132" i="13"/>
  <c r="F132" i="13"/>
  <c r="D132" i="13"/>
  <c r="C132" i="13"/>
  <c r="B132" i="13"/>
  <c r="A132" i="13"/>
  <c r="L15" i="13"/>
  <c r="K15" i="13"/>
  <c r="I15" i="13"/>
  <c r="H15" i="13"/>
  <c r="G15" i="13"/>
  <c r="F15" i="13"/>
  <c r="D15" i="13"/>
  <c r="C15" i="13"/>
  <c r="B15" i="13"/>
  <c r="A15" i="13"/>
  <c r="L348" i="13"/>
  <c r="K348" i="13"/>
  <c r="I348" i="13"/>
  <c r="H348" i="13"/>
  <c r="G348" i="13"/>
  <c r="F348" i="13"/>
  <c r="D348" i="13"/>
  <c r="C348" i="13"/>
  <c r="B348" i="13"/>
  <c r="A348" i="13"/>
  <c r="L652" i="13"/>
  <c r="K652" i="13"/>
  <c r="I652" i="13"/>
  <c r="H652" i="13"/>
  <c r="G652" i="13"/>
  <c r="F652" i="13"/>
  <c r="D652" i="13"/>
  <c r="C652" i="13"/>
  <c r="B652" i="13"/>
  <c r="A652" i="13"/>
  <c r="L93" i="13"/>
  <c r="K93" i="13"/>
  <c r="I93" i="13"/>
  <c r="H93" i="13"/>
  <c r="G93" i="13"/>
  <c r="F93" i="13"/>
  <c r="D93" i="13"/>
  <c r="C93" i="13"/>
  <c r="B93" i="13"/>
  <c r="A93" i="13"/>
  <c r="L482" i="13"/>
  <c r="K482" i="13"/>
  <c r="I482" i="13"/>
  <c r="H482" i="13"/>
  <c r="G482" i="13"/>
  <c r="F482" i="13"/>
  <c r="D482" i="13"/>
  <c r="C482" i="13"/>
  <c r="B482" i="13"/>
  <c r="A482" i="13"/>
  <c r="L183" i="13"/>
  <c r="K183" i="13"/>
  <c r="I183" i="13"/>
  <c r="H183" i="13"/>
  <c r="F183" i="13"/>
  <c r="D183" i="13"/>
  <c r="C183" i="13"/>
  <c r="B183" i="13"/>
  <c r="A183" i="13"/>
  <c r="L60" i="13"/>
  <c r="K60" i="13"/>
  <c r="I60" i="13"/>
  <c r="H60" i="13"/>
  <c r="G60" i="13"/>
  <c r="F60" i="13"/>
  <c r="D60" i="13"/>
  <c r="C60" i="13"/>
  <c r="B60" i="13"/>
  <c r="A60" i="13"/>
  <c r="L13" i="13"/>
  <c r="K13" i="13"/>
  <c r="I13" i="13"/>
  <c r="H13" i="13"/>
  <c r="G13" i="13"/>
  <c r="F13" i="13"/>
  <c r="D13" i="13"/>
  <c r="C13" i="13"/>
  <c r="B13" i="13"/>
  <c r="A13" i="13"/>
  <c r="L476" i="13"/>
  <c r="K476" i="13"/>
  <c r="I476" i="13"/>
  <c r="H476" i="13"/>
  <c r="G476" i="13"/>
  <c r="F476" i="13"/>
  <c r="D476" i="13"/>
  <c r="C476" i="13"/>
  <c r="B476" i="13"/>
  <c r="A476" i="13"/>
  <c r="L569" i="13"/>
  <c r="K569" i="13"/>
  <c r="I569" i="13"/>
  <c r="H569" i="13"/>
  <c r="G569" i="13"/>
  <c r="F569" i="13"/>
  <c r="D569" i="13"/>
  <c r="C569" i="13"/>
  <c r="B569" i="13"/>
  <c r="A569" i="13"/>
  <c r="K163" i="13"/>
  <c r="I163" i="13"/>
  <c r="H163" i="13"/>
  <c r="G163" i="13"/>
  <c r="F163" i="13"/>
  <c r="D163" i="13"/>
  <c r="C163" i="13"/>
  <c r="B163" i="13"/>
  <c r="A163" i="13"/>
  <c r="K308" i="13"/>
  <c r="I308" i="13"/>
  <c r="H308" i="13"/>
  <c r="G308" i="13"/>
  <c r="F308" i="13"/>
  <c r="D308" i="13"/>
  <c r="C308" i="13"/>
  <c r="B308" i="13"/>
  <c r="A308" i="13"/>
  <c r="L403" i="13"/>
  <c r="K403" i="13"/>
  <c r="I403" i="13"/>
  <c r="H403" i="13"/>
  <c r="G403" i="13"/>
  <c r="F403" i="13"/>
  <c r="D403" i="13"/>
  <c r="C403" i="13"/>
  <c r="B403" i="13"/>
  <c r="A403" i="13"/>
  <c r="L64" i="13"/>
  <c r="K64" i="13"/>
  <c r="I64" i="13"/>
  <c r="H64" i="13"/>
  <c r="G64" i="13"/>
  <c r="F64" i="13"/>
  <c r="D64" i="13"/>
  <c r="C64" i="13"/>
  <c r="B64" i="13"/>
  <c r="A64" i="13"/>
  <c r="L88" i="13"/>
  <c r="K88" i="13"/>
  <c r="I88" i="13"/>
  <c r="H88" i="13"/>
  <c r="G88" i="13"/>
  <c r="F88" i="13"/>
  <c r="D88" i="13"/>
  <c r="C88" i="13"/>
  <c r="B88" i="13"/>
  <c r="A88" i="13"/>
  <c r="L284" i="13"/>
  <c r="K284" i="13"/>
  <c r="I284" i="13"/>
  <c r="H284" i="13"/>
  <c r="G284" i="13"/>
  <c r="F284" i="13"/>
  <c r="D284" i="13"/>
  <c r="C284" i="13"/>
  <c r="B284" i="13"/>
  <c r="A284" i="13"/>
  <c r="L406" i="13"/>
  <c r="K406" i="13"/>
  <c r="I406" i="13"/>
  <c r="H406" i="13"/>
  <c r="G406" i="13"/>
  <c r="F406" i="13"/>
  <c r="D406" i="13"/>
  <c r="C406" i="13"/>
  <c r="B406" i="13"/>
  <c r="A406" i="13"/>
  <c r="L95" i="13"/>
  <c r="K95" i="13"/>
  <c r="I95" i="13"/>
  <c r="H95" i="13"/>
  <c r="G95" i="13"/>
  <c r="F95" i="13"/>
  <c r="D95" i="13"/>
  <c r="C95" i="13"/>
  <c r="B95" i="13"/>
  <c r="A95" i="13"/>
  <c r="L104" i="13"/>
  <c r="K104" i="13"/>
  <c r="I104" i="13"/>
  <c r="H104" i="13"/>
  <c r="G104" i="13"/>
  <c r="F104" i="13"/>
  <c r="D104" i="13"/>
  <c r="C104" i="13"/>
  <c r="B104" i="13"/>
  <c r="A104" i="13"/>
  <c r="L422" i="13"/>
  <c r="K422" i="13"/>
  <c r="I422" i="13"/>
  <c r="H422" i="13"/>
  <c r="G422" i="13"/>
  <c r="F422" i="13"/>
  <c r="D422" i="13"/>
  <c r="C422" i="13"/>
  <c r="B422" i="13"/>
  <c r="A422" i="13"/>
  <c r="L661" i="13"/>
  <c r="K661" i="13"/>
  <c r="I661" i="13"/>
  <c r="H661" i="13"/>
  <c r="G661" i="13"/>
  <c r="F661" i="13"/>
  <c r="D661" i="13"/>
  <c r="C661" i="13"/>
  <c r="B661" i="13"/>
  <c r="A661" i="13"/>
  <c r="L44" i="13"/>
  <c r="K44" i="13"/>
  <c r="I44" i="13"/>
  <c r="H44" i="13"/>
  <c r="G44" i="13"/>
  <c r="F44" i="13"/>
  <c r="D44" i="13"/>
  <c r="C44" i="13"/>
  <c r="B44" i="13"/>
  <c r="A44" i="13"/>
  <c r="L278" i="13"/>
  <c r="K278" i="13"/>
  <c r="I278" i="13"/>
  <c r="H278" i="13"/>
  <c r="G278" i="13"/>
  <c r="F278" i="13"/>
  <c r="D278" i="13"/>
  <c r="C278" i="13"/>
  <c r="B278" i="13"/>
  <c r="A278" i="13"/>
  <c r="L521" i="13"/>
  <c r="K521" i="13"/>
  <c r="I521" i="13"/>
  <c r="H521" i="13"/>
  <c r="G521" i="13"/>
  <c r="F521" i="13"/>
  <c r="D521" i="13"/>
  <c r="C521" i="13"/>
  <c r="B521" i="13"/>
  <c r="A521" i="13"/>
  <c r="L81" i="13"/>
  <c r="K81" i="13"/>
  <c r="I81" i="13"/>
  <c r="H81" i="13"/>
  <c r="G81" i="13"/>
  <c r="F81" i="13"/>
  <c r="D81" i="13"/>
  <c r="C81" i="13"/>
  <c r="B81" i="13"/>
  <c r="A81" i="13"/>
  <c r="L376" i="13"/>
  <c r="K376" i="13"/>
  <c r="I376" i="13"/>
  <c r="H376" i="13"/>
  <c r="G376" i="13"/>
  <c r="F376" i="13"/>
  <c r="D376" i="13"/>
  <c r="C376" i="13"/>
  <c r="B376" i="13"/>
  <c r="A376" i="13"/>
  <c r="L463" i="13"/>
  <c r="K463" i="13"/>
  <c r="I463" i="13"/>
  <c r="H463" i="13"/>
  <c r="G463" i="13"/>
  <c r="F463" i="13"/>
  <c r="D463" i="13"/>
  <c r="C463" i="13"/>
  <c r="B463" i="13"/>
  <c r="A463" i="13"/>
  <c r="L220" i="13"/>
  <c r="K220" i="13"/>
  <c r="I220" i="13"/>
  <c r="H220" i="13"/>
  <c r="G220" i="13"/>
  <c r="F220" i="13"/>
  <c r="D220" i="13"/>
  <c r="C220" i="13"/>
  <c r="B220" i="13"/>
  <c r="A220" i="13"/>
  <c r="L84" i="13"/>
  <c r="K84" i="13"/>
  <c r="I84" i="13"/>
  <c r="H84" i="13"/>
  <c r="G84" i="13"/>
  <c r="F84" i="13"/>
  <c r="D84" i="13"/>
  <c r="C84" i="13"/>
  <c r="B84" i="13"/>
  <c r="A84" i="13"/>
  <c r="L586" i="13"/>
  <c r="K586" i="13"/>
  <c r="I586" i="13"/>
  <c r="H586" i="13"/>
  <c r="G586" i="13"/>
  <c r="F586" i="13"/>
  <c r="D586" i="13"/>
  <c r="C586" i="13"/>
  <c r="B586" i="13"/>
  <c r="A586" i="13"/>
  <c r="L414" i="13"/>
  <c r="K414" i="13"/>
  <c r="I414" i="13"/>
  <c r="H414" i="13"/>
  <c r="G414" i="13"/>
  <c r="F414" i="13"/>
  <c r="D414" i="13"/>
  <c r="C414" i="13"/>
  <c r="B414" i="13"/>
  <c r="A414" i="13"/>
  <c r="L670" i="13"/>
  <c r="K670" i="13"/>
  <c r="I670" i="13"/>
  <c r="H670" i="13"/>
  <c r="G670" i="13"/>
  <c r="F670" i="13"/>
  <c r="D670" i="13"/>
  <c r="C670" i="13"/>
  <c r="B670" i="13"/>
  <c r="A670" i="13"/>
  <c r="L660" i="13"/>
  <c r="K660" i="13"/>
  <c r="I660" i="13"/>
  <c r="H660" i="13"/>
  <c r="G660" i="13"/>
  <c r="F660" i="13"/>
  <c r="D660" i="13"/>
  <c r="C660" i="13"/>
  <c r="B660" i="13"/>
  <c r="A660" i="13"/>
  <c r="L338" i="13"/>
  <c r="K338" i="13"/>
  <c r="I338" i="13"/>
  <c r="H338" i="13"/>
  <c r="G338" i="13"/>
  <c r="F338" i="13"/>
  <c r="D338" i="13"/>
  <c r="C338" i="13"/>
  <c r="B338" i="13"/>
  <c r="A338" i="13"/>
  <c r="L563" i="13"/>
  <c r="K563" i="13"/>
  <c r="I563" i="13"/>
  <c r="H563" i="13"/>
  <c r="G563" i="13"/>
  <c r="F563" i="13"/>
  <c r="D563" i="13"/>
  <c r="C563" i="13"/>
  <c r="B563" i="13"/>
  <c r="A563" i="13"/>
  <c r="L489" i="13"/>
  <c r="K489" i="13"/>
  <c r="I489" i="13"/>
  <c r="H489" i="13"/>
  <c r="G489" i="13"/>
  <c r="F489" i="13"/>
  <c r="D489" i="13"/>
  <c r="C489" i="13"/>
  <c r="B489" i="13"/>
  <c r="A489" i="13"/>
  <c r="L142" i="13"/>
  <c r="K142" i="13"/>
  <c r="I142" i="13"/>
  <c r="H142" i="13"/>
  <c r="G142" i="13"/>
  <c r="F142" i="13"/>
  <c r="D142" i="13"/>
  <c r="C142" i="13"/>
  <c r="B142" i="13"/>
  <c r="A142" i="13"/>
  <c r="L254" i="13"/>
  <c r="K254" i="13"/>
  <c r="I254" i="13"/>
  <c r="H254" i="13"/>
  <c r="G254" i="13"/>
  <c r="F254" i="13"/>
  <c r="D254" i="13"/>
  <c r="C254" i="13"/>
  <c r="B254" i="13"/>
  <c r="A254" i="13"/>
  <c r="I524" i="13"/>
  <c r="H524" i="13"/>
  <c r="G524" i="13"/>
  <c r="F524" i="13"/>
  <c r="D524" i="13"/>
  <c r="C524" i="13"/>
  <c r="B524" i="13"/>
  <c r="A524" i="13"/>
  <c r="I523" i="13"/>
  <c r="H523" i="13"/>
  <c r="G523" i="13"/>
  <c r="F523" i="13"/>
  <c r="D523" i="13"/>
  <c r="C523" i="13"/>
  <c r="B523" i="13"/>
  <c r="A523" i="13"/>
  <c r="L354" i="13"/>
  <c r="K354" i="13"/>
  <c r="I354" i="13"/>
  <c r="H354" i="13"/>
  <c r="G354" i="13"/>
  <c r="F354" i="13"/>
  <c r="D354" i="13"/>
  <c r="C354" i="13"/>
  <c r="B354" i="13"/>
  <c r="A354" i="13"/>
  <c r="L669" i="13"/>
  <c r="K669" i="13"/>
  <c r="I669" i="13"/>
  <c r="H669" i="13"/>
  <c r="G669" i="13"/>
  <c r="F669" i="13"/>
  <c r="D669" i="13"/>
  <c r="C669" i="13"/>
  <c r="B669" i="13"/>
  <c r="A669" i="13"/>
  <c r="L325" i="13"/>
  <c r="K325" i="13"/>
  <c r="I325" i="13"/>
  <c r="H325" i="13"/>
  <c r="G325" i="13"/>
  <c r="F325" i="13"/>
  <c r="D325" i="13"/>
  <c r="C325" i="13"/>
  <c r="B325" i="13"/>
  <c r="A325" i="13"/>
  <c r="L419" i="13"/>
  <c r="K419" i="13"/>
  <c r="I419" i="13"/>
  <c r="H419" i="13"/>
  <c r="G419" i="13"/>
  <c r="F419" i="13"/>
  <c r="D419" i="13"/>
  <c r="C419" i="13"/>
  <c r="B419" i="13"/>
  <c r="A419" i="13"/>
  <c r="L381" i="13"/>
  <c r="K381" i="13"/>
  <c r="I381" i="13"/>
  <c r="H381" i="13"/>
  <c r="G381" i="13"/>
  <c r="F381" i="13"/>
  <c r="D381" i="13"/>
  <c r="C381" i="13"/>
  <c r="B381" i="13"/>
  <c r="A381" i="13"/>
  <c r="L537" i="13"/>
  <c r="K537" i="13"/>
  <c r="I537" i="13"/>
  <c r="H537" i="13"/>
  <c r="G537" i="13"/>
  <c r="F537" i="13"/>
  <c r="D537" i="13"/>
  <c r="C537" i="13"/>
  <c r="B537" i="13"/>
  <c r="A537" i="13"/>
  <c r="L355" i="13"/>
  <c r="K355" i="13"/>
  <c r="I355" i="13"/>
  <c r="H355" i="13"/>
  <c r="G355" i="13"/>
  <c r="F355" i="13"/>
  <c r="D355" i="13"/>
  <c r="C355" i="13"/>
  <c r="B355" i="13"/>
  <c r="A355" i="13"/>
  <c r="L205" i="13"/>
  <c r="K205" i="13"/>
  <c r="I205" i="13"/>
  <c r="H205" i="13"/>
  <c r="G205" i="13"/>
  <c r="F205" i="13"/>
  <c r="D205" i="13"/>
  <c r="C205" i="13"/>
  <c r="B205" i="13"/>
  <c r="A205" i="13"/>
  <c r="L126" i="13"/>
  <c r="K126" i="13"/>
  <c r="I126" i="13"/>
  <c r="H126" i="13"/>
  <c r="G126" i="13"/>
  <c r="F126" i="13"/>
  <c r="D126" i="13"/>
  <c r="C126" i="13"/>
  <c r="B126" i="13"/>
  <c r="A126" i="13"/>
  <c r="L331" i="13"/>
  <c r="K331" i="13"/>
  <c r="I331" i="13"/>
  <c r="H331" i="13"/>
  <c r="G331" i="13"/>
  <c r="F331" i="13"/>
  <c r="D331" i="13"/>
  <c r="C331" i="13"/>
  <c r="B331" i="13"/>
  <c r="A331" i="13"/>
  <c r="L253" i="13"/>
  <c r="K253" i="13"/>
  <c r="I253" i="13"/>
  <c r="H253" i="13"/>
  <c r="G253" i="13"/>
  <c r="F253" i="13"/>
  <c r="D253" i="13"/>
  <c r="C253" i="13"/>
  <c r="B253" i="13"/>
  <c r="A253" i="13"/>
  <c r="L517" i="13"/>
  <c r="K517" i="13"/>
  <c r="I517" i="13"/>
  <c r="H517" i="13"/>
  <c r="G517" i="13"/>
  <c r="F517" i="13"/>
  <c r="D517" i="13"/>
  <c r="C517" i="13"/>
  <c r="B517" i="13"/>
  <c r="A517" i="13"/>
  <c r="L275" i="13"/>
  <c r="K275" i="13"/>
  <c r="I275" i="13"/>
  <c r="H275" i="13"/>
  <c r="G275" i="13"/>
  <c r="F275" i="13"/>
  <c r="D275" i="13"/>
  <c r="B275" i="13"/>
  <c r="A275" i="13"/>
  <c r="L175" i="13"/>
  <c r="K175" i="13"/>
  <c r="I175" i="13"/>
  <c r="H175" i="13"/>
  <c r="G175" i="13"/>
  <c r="F175" i="13"/>
  <c r="D175" i="13"/>
  <c r="C175" i="13"/>
  <c r="B175" i="13"/>
  <c r="A175" i="13"/>
  <c r="L369" i="13"/>
  <c r="K369" i="13"/>
  <c r="I369" i="13"/>
  <c r="H369" i="13"/>
  <c r="G369" i="13"/>
  <c r="F369" i="13"/>
  <c r="D369" i="13"/>
  <c r="C369" i="13"/>
  <c r="B369" i="13"/>
  <c r="A369" i="13"/>
  <c r="L538" i="13"/>
  <c r="K538" i="13"/>
  <c r="I538" i="13"/>
  <c r="H538" i="13"/>
  <c r="G538" i="13"/>
  <c r="F538" i="13"/>
  <c r="D538" i="13"/>
  <c r="C538" i="13"/>
  <c r="B538" i="13"/>
  <c r="A538" i="13"/>
  <c r="L515" i="13"/>
  <c r="K515" i="13"/>
  <c r="I515" i="13"/>
  <c r="H515" i="13"/>
  <c r="G515" i="13"/>
  <c r="F515" i="13"/>
  <c r="D515" i="13"/>
  <c r="C515" i="13"/>
  <c r="B515" i="13"/>
  <c r="A515" i="13"/>
  <c r="L53" i="13"/>
  <c r="K53" i="13"/>
  <c r="I53" i="13"/>
  <c r="H53" i="13"/>
  <c r="G53" i="13"/>
  <c r="F53" i="13"/>
  <c r="D53" i="13"/>
  <c r="C53" i="13"/>
  <c r="B53" i="13"/>
  <c r="A53" i="13"/>
  <c r="L554" i="13"/>
  <c r="K554" i="13"/>
  <c r="I554" i="13"/>
  <c r="H554" i="13"/>
  <c r="G554" i="13"/>
  <c r="F554" i="13"/>
  <c r="D554" i="13"/>
  <c r="C554" i="13"/>
  <c r="B554" i="13"/>
  <c r="A554" i="13"/>
  <c r="L160" i="13"/>
  <c r="K160" i="13"/>
  <c r="I160" i="13"/>
  <c r="H160" i="13"/>
  <c r="G160" i="13"/>
  <c r="F160" i="13"/>
  <c r="D160" i="13"/>
  <c r="C160" i="13"/>
  <c r="B160" i="13"/>
  <c r="A160" i="13"/>
  <c r="L339" i="13"/>
  <c r="K339" i="13"/>
  <c r="I339" i="13"/>
  <c r="H339" i="13"/>
  <c r="G339" i="13"/>
  <c r="F339" i="13"/>
  <c r="D339" i="13"/>
  <c r="C339" i="13"/>
  <c r="B339" i="13"/>
  <c r="A339" i="13"/>
  <c r="L282" i="13"/>
  <c r="K282" i="13"/>
  <c r="I282" i="13"/>
  <c r="H282" i="13"/>
  <c r="G282" i="13"/>
  <c r="F282" i="13"/>
  <c r="D282" i="13"/>
  <c r="C282" i="13"/>
  <c r="B282" i="13"/>
  <c r="A282" i="13"/>
  <c r="L365" i="13"/>
  <c r="K365" i="13"/>
  <c r="I365" i="13"/>
  <c r="H365" i="13"/>
  <c r="G365" i="13"/>
  <c r="F365" i="13"/>
  <c r="D365" i="13"/>
  <c r="C365" i="13"/>
  <c r="B365" i="13"/>
  <c r="A365" i="13"/>
  <c r="L654" i="13"/>
  <c r="K654" i="13"/>
  <c r="I654" i="13"/>
  <c r="H654" i="13"/>
  <c r="G654" i="13"/>
  <c r="F654" i="13"/>
  <c r="D654" i="13"/>
  <c r="C654" i="13"/>
  <c r="B654" i="13"/>
  <c r="A654" i="13"/>
  <c r="L112" i="13"/>
  <c r="K112" i="13"/>
  <c r="I112" i="13"/>
  <c r="H112" i="13"/>
  <c r="G112" i="13"/>
  <c r="F112" i="13"/>
  <c r="D112" i="13"/>
  <c r="C112" i="13"/>
  <c r="B112" i="13"/>
  <c r="A112" i="13"/>
  <c r="L332" i="13"/>
  <c r="K332" i="13"/>
  <c r="I332" i="13"/>
  <c r="H332" i="13"/>
  <c r="G332" i="13"/>
  <c r="F332" i="13"/>
  <c r="D332" i="13"/>
  <c r="C332" i="13"/>
  <c r="B332" i="13"/>
  <c r="A332" i="13"/>
  <c r="L364" i="13"/>
  <c r="K364" i="13"/>
  <c r="I364" i="13"/>
  <c r="H364" i="13"/>
  <c r="G364" i="13"/>
  <c r="F364" i="13"/>
  <c r="D364" i="13"/>
  <c r="C364" i="13"/>
  <c r="B364" i="13"/>
  <c r="A364" i="13"/>
  <c r="L108" i="13"/>
  <c r="K108" i="13"/>
  <c r="I108" i="13"/>
  <c r="H108" i="13"/>
  <c r="G108" i="13"/>
  <c r="F108" i="13"/>
  <c r="D108" i="13"/>
  <c r="C108" i="13"/>
  <c r="B108" i="13"/>
  <c r="A108" i="13"/>
  <c r="L550" i="13"/>
  <c r="K550" i="13"/>
  <c r="I550" i="13"/>
  <c r="H550" i="13"/>
  <c r="G550" i="13"/>
  <c r="F550" i="13"/>
  <c r="D550" i="13"/>
  <c r="C550" i="13"/>
  <c r="B550" i="13"/>
  <c r="A550" i="13"/>
  <c r="L218" i="13"/>
  <c r="K218" i="13"/>
  <c r="I218" i="13"/>
  <c r="H218" i="13"/>
  <c r="G218" i="13"/>
  <c r="F218" i="13"/>
  <c r="D218" i="13"/>
  <c r="C218" i="13"/>
  <c r="B218" i="13"/>
  <c r="A218" i="13"/>
  <c r="L96" i="13"/>
  <c r="K96" i="13"/>
  <c r="I96" i="13"/>
  <c r="H96" i="13"/>
  <c r="G96" i="13"/>
  <c r="F96" i="13"/>
  <c r="D96" i="13"/>
  <c r="C96" i="13"/>
  <c r="B96" i="13"/>
  <c r="A96" i="13"/>
  <c r="L66" i="13"/>
  <c r="K66" i="13"/>
  <c r="I66" i="13"/>
  <c r="H66" i="13"/>
  <c r="G66" i="13"/>
  <c r="F66" i="13"/>
  <c r="D66" i="13"/>
  <c r="C66" i="13"/>
  <c r="B66" i="13"/>
  <c r="A66" i="13"/>
  <c r="L342" i="13"/>
  <c r="K342" i="13"/>
  <c r="I342" i="13"/>
  <c r="H342" i="13"/>
  <c r="G342" i="13"/>
  <c r="F342" i="13"/>
  <c r="D342" i="13"/>
  <c r="C342" i="13"/>
  <c r="B342" i="13"/>
  <c r="A342" i="13"/>
  <c r="L14" i="13"/>
  <c r="K14" i="13"/>
  <c r="I14" i="13"/>
  <c r="H14" i="13"/>
  <c r="G14" i="13"/>
  <c r="F14" i="13"/>
  <c r="D14" i="13"/>
  <c r="C14" i="13"/>
  <c r="B14" i="13"/>
  <c r="A14" i="13"/>
  <c r="L644" i="13"/>
  <c r="K644" i="13"/>
  <c r="I644" i="13"/>
  <c r="H644" i="13"/>
  <c r="G644" i="13"/>
  <c r="F644" i="13"/>
  <c r="D644" i="13"/>
  <c r="C644" i="13"/>
  <c r="B644" i="13"/>
  <c r="A644" i="13"/>
  <c r="L658" i="13"/>
  <c r="K658" i="13"/>
  <c r="I658" i="13"/>
  <c r="H658" i="13"/>
  <c r="G658" i="13"/>
  <c r="F658" i="13"/>
  <c r="D658" i="13"/>
  <c r="C658" i="13"/>
  <c r="B658" i="13"/>
  <c r="A658" i="13"/>
  <c r="L303" i="13"/>
  <c r="K303" i="13"/>
  <c r="I303" i="13"/>
  <c r="H303" i="13"/>
  <c r="G303" i="13"/>
  <c r="F303" i="13"/>
  <c r="D303" i="13"/>
  <c r="C303" i="13"/>
  <c r="B303" i="13"/>
  <c r="A303" i="13"/>
  <c r="L490" i="13"/>
  <c r="K490" i="13"/>
  <c r="I490" i="13"/>
  <c r="H490" i="13"/>
  <c r="G490" i="13"/>
  <c r="F490" i="13"/>
  <c r="D490" i="13"/>
  <c r="C490" i="13"/>
  <c r="B490" i="13"/>
  <c r="A490" i="13"/>
  <c r="L520" i="13"/>
  <c r="K520" i="13"/>
  <c r="I520" i="13"/>
  <c r="H520" i="13"/>
  <c r="G520" i="13"/>
  <c r="F520" i="13"/>
  <c r="D520" i="13"/>
  <c r="C520" i="13"/>
  <c r="B520" i="13"/>
  <c r="A520" i="13"/>
  <c r="L304" i="13"/>
  <c r="K304" i="13"/>
  <c r="I304" i="13"/>
  <c r="H304" i="13"/>
  <c r="G304" i="13"/>
  <c r="F304" i="13"/>
  <c r="D304" i="13"/>
  <c r="C304" i="13"/>
  <c r="B304" i="13"/>
  <c r="A304" i="13"/>
  <c r="L235" i="13"/>
  <c r="K235" i="13"/>
  <c r="I235" i="13"/>
  <c r="H235" i="13"/>
  <c r="G235" i="13"/>
  <c r="F235" i="13"/>
  <c r="D235" i="13"/>
  <c r="C235" i="13"/>
  <c r="B235" i="13"/>
  <c r="A235" i="13"/>
  <c r="L420" i="13"/>
  <c r="K420" i="13"/>
  <c r="I420" i="13"/>
  <c r="H420" i="13"/>
  <c r="G420" i="13"/>
  <c r="F420" i="13"/>
  <c r="D420" i="13"/>
  <c r="C420" i="13"/>
  <c r="B420" i="13"/>
  <c r="A420" i="13"/>
  <c r="L582" i="13"/>
  <c r="K582" i="13"/>
  <c r="I582" i="13"/>
  <c r="H582" i="13"/>
  <c r="G582" i="13"/>
  <c r="F582" i="13"/>
  <c r="D582" i="13"/>
  <c r="C582" i="13"/>
  <c r="B582" i="13"/>
  <c r="A582" i="13"/>
  <c r="L396" i="13"/>
  <c r="K396" i="13"/>
  <c r="I396" i="13"/>
  <c r="H396" i="13"/>
  <c r="G396" i="13"/>
  <c r="F396" i="13"/>
  <c r="D396" i="13"/>
  <c r="C396" i="13"/>
  <c r="B396" i="13"/>
  <c r="A396" i="13"/>
  <c r="L410" i="13"/>
  <c r="K410" i="13"/>
  <c r="I410" i="13"/>
  <c r="H410" i="13"/>
  <c r="G410" i="13"/>
  <c r="F410" i="13"/>
  <c r="D410" i="13"/>
  <c r="C410" i="13"/>
  <c r="B410" i="13"/>
  <c r="A410" i="13"/>
  <c r="L16" i="13"/>
  <c r="K16" i="13"/>
  <c r="I16" i="13"/>
  <c r="H16" i="13"/>
  <c r="G16" i="13"/>
  <c r="F16" i="13"/>
  <c r="D16" i="13"/>
  <c r="C16" i="13"/>
  <c r="B16" i="13"/>
  <c r="A16" i="13"/>
  <c r="L277" i="13"/>
  <c r="K277" i="13"/>
  <c r="I277" i="13"/>
  <c r="H277" i="13"/>
  <c r="G277" i="13"/>
  <c r="F277" i="13"/>
  <c r="D277" i="13"/>
  <c r="C277" i="13"/>
  <c r="B277" i="13"/>
  <c r="A277" i="13"/>
  <c r="L659" i="13"/>
  <c r="K659" i="13"/>
  <c r="I659" i="13"/>
  <c r="H659" i="13"/>
  <c r="G659" i="13"/>
  <c r="F659" i="13"/>
  <c r="D659" i="13"/>
  <c r="C659" i="13"/>
  <c r="B659" i="13"/>
  <c r="A659" i="13"/>
  <c r="L662" i="13"/>
  <c r="K662" i="13"/>
  <c r="I662" i="13"/>
  <c r="H662" i="13"/>
  <c r="G662" i="13"/>
  <c r="F662" i="13"/>
  <c r="D662" i="13"/>
  <c r="C662" i="13"/>
  <c r="B662" i="13"/>
  <c r="A662" i="13"/>
  <c r="K685" i="13"/>
  <c r="I685" i="13"/>
  <c r="H685" i="13"/>
  <c r="G685" i="13"/>
  <c r="F685" i="13"/>
  <c r="D685" i="13"/>
  <c r="C685" i="13"/>
  <c r="B685" i="13"/>
  <c r="A685" i="13"/>
  <c r="L216" i="13"/>
  <c r="K216" i="13"/>
  <c r="I216" i="13"/>
  <c r="H216" i="13"/>
  <c r="G216" i="13"/>
  <c r="F216" i="13"/>
  <c r="D216" i="13"/>
  <c r="C216" i="13"/>
  <c r="B216" i="13"/>
  <c r="A216" i="13"/>
  <c r="L589" i="13"/>
  <c r="K589" i="13"/>
  <c r="I589" i="13"/>
  <c r="H589" i="13"/>
  <c r="G589" i="13"/>
  <c r="F589" i="13"/>
  <c r="D589" i="13"/>
  <c r="C589" i="13"/>
  <c r="B589" i="13"/>
  <c r="A589" i="13"/>
  <c r="L576" i="13"/>
  <c r="K576" i="13"/>
  <c r="I576" i="13"/>
  <c r="H576" i="13"/>
  <c r="G576" i="13"/>
  <c r="F576" i="13"/>
  <c r="D576" i="13"/>
  <c r="C576" i="13"/>
  <c r="B576" i="13"/>
  <c r="A576" i="13"/>
  <c r="L289" i="13"/>
  <c r="K289" i="13"/>
  <c r="I289" i="13"/>
  <c r="H289" i="13"/>
  <c r="G289" i="13"/>
  <c r="F289" i="13"/>
  <c r="D289" i="13"/>
  <c r="C289" i="13"/>
  <c r="B289" i="13"/>
  <c r="A289" i="13"/>
  <c r="L221" i="13"/>
  <c r="K221" i="13"/>
  <c r="I221" i="13"/>
  <c r="H221" i="13"/>
  <c r="G221" i="13"/>
  <c r="F221" i="13"/>
  <c r="D221" i="13"/>
  <c r="C221" i="13"/>
  <c r="B221" i="13"/>
  <c r="A221" i="13"/>
  <c r="L201" i="13"/>
  <c r="K201" i="13"/>
  <c r="I201" i="13"/>
  <c r="H201" i="13"/>
  <c r="G201" i="13"/>
  <c r="F201" i="13"/>
  <c r="D201" i="13"/>
  <c r="C201" i="13"/>
  <c r="B201" i="13"/>
  <c r="A201" i="13"/>
  <c r="L391" i="13"/>
  <c r="K391" i="13"/>
  <c r="I391" i="13"/>
  <c r="H391" i="13"/>
  <c r="G391" i="13"/>
  <c r="F391" i="13"/>
  <c r="D391" i="13"/>
  <c r="C391" i="13"/>
  <c r="B391" i="13"/>
  <c r="A391" i="13"/>
  <c r="L377" i="13"/>
  <c r="K377" i="13"/>
  <c r="I377" i="13"/>
  <c r="H377" i="13"/>
  <c r="G377" i="13"/>
  <c r="F377" i="13"/>
  <c r="D377" i="13"/>
  <c r="C377" i="13"/>
  <c r="B377" i="13"/>
  <c r="A377" i="13"/>
  <c r="L584" i="13"/>
  <c r="K584" i="13"/>
  <c r="I584" i="13"/>
  <c r="H584" i="13"/>
  <c r="G584" i="13"/>
  <c r="F584" i="13"/>
  <c r="D584" i="13"/>
  <c r="C584" i="13"/>
  <c r="B584" i="13"/>
  <c r="A584" i="13"/>
  <c r="L80" i="13"/>
  <c r="K80" i="13"/>
  <c r="I80" i="13"/>
  <c r="H80" i="13"/>
  <c r="G80" i="13"/>
  <c r="F80" i="13"/>
  <c r="D80" i="13"/>
  <c r="C80" i="13"/>
  <c r="B80" i="13"/>
  <c r="A80" i="13"/>
  <c r="L266" i="13"/>
  <c r="K266" i="13"/>
  <c r="I266" i="13"/>
  <c r="H266" i="13"/>
  <c r="G266" i="13"/>
  <c r="F266" i="13"/>
  <c r="D266" i="13"/>
  <c r="C266" i="13"/>
  <c r="B266" i="13"/>
  <c r="A266" i="13"/>
  <c r="L62" i="13"/>
  <c r="K62" i="13"/>
  <c r="I62" i="13"/>
  <c r="H62" i="13"/>
  <c r="G62" i="13"/>
  <c r="F62" i="13"/>
  <c r="D62" i="13"/>
  <c r="C62" i="13"/>
  <c r="B62" i="13"/>
  <c r="A62" i="13"/>
  <c r="L12" i="13"/>
  <c r="K12" i="13"/>
  <c r="I12" i="13"/>
  <c r="H12" i="13"/>
  <c r="G12" i="13"/>
  <c r="F12" i="13"/>
  <c r="D12" i="13"/>
  <c r="C12" i="13"/>
  <c r="B12" i="13"/>
  <c r="A12" i="13"/>
  <c r="L117" i="13"/>
  <c r="K117" i="13"/>
  <c r="I117" i="13"/>
  <c r="H117" i="13"/>
  <c r="G117" i="13"/>
  <c r="F117" i="13"/>
  <c r="D117" i="13"/>
  <c r="C117" i="13"/>
  <c r="B117" i="13"/>
  <c r="A117" i="13"/>
  <c r="L11" i="13"/>
  <c r="K11" i="13"/>
  <c r="I11" i="13"/>
  <c r="H11" i="13"/>
  <c r="G11" i="13"/>
  <c r="F11" i="13"/>
  <c r="D11" i="13"/>
  <c r="C11" i="13"/>
  <c r="B11" i="13"/>
  <c r="A11" i="13"/>
  <c r="L281" i="13"/>
  <c r="K281" i="13"/>
  <c r="I281" i="13"/>
  <c r="H281" i="13"/>
  <c r="G281" i="13"/>
  <c r="F281" i="13"/>
  <c r="D281" i="13"/>
  <c r="C281" i="13"/>
  <c r="B281" i="13"/>
  <c r="A281" i="13"/>
  <c r="L366" i="13"/>
  <c r="K366" i="13"/>
  <c r="I366" i="13"/>
  <c r="H366" i="13"/>
  <c r="G366" i="13"/>
  <c r="F366" i="13"/>
  <c r="D366" i="13"/>
  <c r="C366" i="13"/>
  <c r="B366" i="13"/>
  <c r="A366" i="13"/>
  <c r="L567" i="13"/>
  <c r="K567" i="13"/>
  <c r="I567" i="13"/>
  <c r="H567" i="13"/>
  <c r="G567" i="13"/>
  <c r="F567" i="13"/>
  <c r="D567" i="13"/>
  <c r="C567" i="13"/>
  <c r="B567" i="13"/>
  <c r="A567" i="13"/>
  <c r="L424" i="13"/>
  <c r="K424" i="13"/>
  <c r="I424" i="13"/>
  <c r="H424" i="13"/>
  <c r="G424" i="13"/>
  <c r="F424" i="13"/>
  <c r="D424" i="13"/>
  <c r="C424" i="13"/>
  <c r="B424" i="13"/>
  <c r="A424" i="13"/>
  <c r="L456" i="13"/>
  <c r="K456" i="13"/>
  <c r="I456" i="13"/>
  <c r="H456" i="13"/>
  <c r="G456" i="13"/>
  <c r="F456" i="13"/>
  <c r="D456" i="13"/>
  <c r="C456" i="13"/>
  <c r="B456" i="13"/>
  <c r="A456" i="13"/>
  <c r="L134" i="13"/>
  <c r="K134" i="13"/>
  <c r="I134" i="13"/>
  <c r="H134" i="13"/>
  <c r="G134" i="13"/>
  <c r="F134" i="13"/>
  <c r="D134" i="13"/>
  <c r="C134" i="13"/>
  <c r="B134" i="13"/>
  <c r="A134" i="13"/>
  <c r="L329" i="13"/>
  <c r="K329" i="13"/>
  <c r="I329" i="13"/>
  <c r="H329" i="13"/>
  <c r="G329" i="13"/>
  <c r="F329" i="13"/>
  <c r="D329" i="13"/>
  <c r="C329" i="13"/>
  <c r="B329" i="13"/>
  <c r="A329" i="13"/>
  <c r="L545" i="13"/>
  <c r="K545" i="13"/>
  <c r="I545" i="13"/>
  <c r="H545" i="13"/>
  <c r="G545" i="13"/>
  <c r="F545" i="13"/>
  <c r="D545" i="13"/>
  <c r="C545" i="13"/>
  <c r="B545" i="13"/>
  <c r="A545" i="13"/>
  <c r="L71" i="13"/>
  <c r="K71" i="13"/>
  <c r="I71" i="13"/>
  <c r="H71" i="13"/>
  <c r="G71" i="13"/>
  <c r="F71" i="13"/>
  <c r="D71" i="13"/>
  <c r="C71" i="13"/>
  <c r="B71" i="13"/>
  <c r="A71" i="13"/>
  <c r="L199" i="13"/>
  <c r="K199" i="13"/>
  <c r="I199" i="13"/>
  <c r="H199" i="13"/>
  <c r="G199" i="13"/>
  <c r="F199" i="13"/>
  <c r="D199" i="13"/>
  <c r="C199" i="13"/>
  <c r="B199" i="13"/>
  <c r="A199" i="13"/>
  <c r="L459" i="13"/>
  <c r="K459" i="13"/>
  <c r="I459" i="13"/>
  <c r="H459" i="13"/>
  <c r="G459" i="13"/>
  <c r="F459" i="13"/>
  <c r="D459" i="13"/>
  <c r="C459" i="13"/>
  <c r="B459" i="13"/>
  <c r="A459" i="13"/>
  <c r="L204" i="13"/>
  <c r="K204" i="13"/>
  <c r="I204" i="13"/>
  <c r="H204" i="13"/>
  <c r="G204" i="13"/>
  <c r="F204" i="13"/>
  <c r="D204" i="13"/>
  <c r="C204" i="13"/>
  <c r="B204" i="13"/>
  <c r="A204" i="13"/>
  <c r="L502" i="13"/>
  <c r="K502" i="13"/>
  <c r="I502" i="13"/>
  <c r="H502" i="13"/>
  <c r="G502" i="13"/>
  <c r="F502" i="13"/>
  <c r="D502" i="13"/>
  <c r="C502" i="13"/>
  <c r="B502" i="13"/>
  <c r="A502" i="13"/>
  <c r="L583" i="13"/>
  <c r="K583" i="13"/>
  <c r="I583" i="13"/>
  <c r="H583" i="13"/>
  <c r="G583" i="13"/>
  <c r="F583" i="13"/>
  <c r="D583" i="13"/>
  <c r="C583" i="13"/>
  <c r="B583" i="13"/>
  <c r="A583" i="13"/>
  <c r="L453" i="13"/>
  <c r="K453" i="13"/>
  <c r="I453" i="13"/>
  <c r="H453" i="13"/>
  <c r="G453" i="13"/>
  <c r="F453" i="13"/>
  <c r="D453" i="13"/>
  <c r="C453" i="13"/>
  <c r="B453" i="13"/>
  <c r="A453" i="13"/>
  <c r="L206" i="13"/>
  <c r="K206" i="13"/>
  <c r="I206" i="13"/>
  <c r="H206" i="13"/>
  <c r="G206" i="13"/>
  <c r="F206" i="13"/>
  <c r="D206" i="13"/>
  <c r="C206" i="13"/>
  <c r="B206" i="13"/>
  <c r="A206" i="13"/>
  <c r="L22" i="13"/>
  <c r="K22" i="13"/>
  <c r="I22" i="13"/>
  <c r="H22" i="13"/>
  <c r="G22" i="13"/>
  <c r="F22" i="13"/>
  <c r="D22" i="13"/>
  <c r="C22" i="13"/>
  <c r="B22" i="13"/>
  <c r="A22" i="13"/>
  <c r="L226" i="13"/>
  <c r="K226" i="13"/>
  <c r="I226" i="13"/>
  <c r="H226" i="13"/>
  <c r="G226" i="13"/>
  <c r="F226" i="13"/>
  <c r="D226" i="13"/>
  <c r="C226" i="13"/>
  <c r="B226" i="13"/>
  <c r="A226" i="13"/>
  <c r="L428" i="13"/>
  <c r="K428" i="13"/>
  <c r="I428" i="13"/>
  <c r="H428" i="13"/>
  <c r="G428" i="13"/>
  <c r="F428" i="13"/>
  <c r="D428" i="13"/>
  <c r="C428" i="13"/>
  <c r="B428" i="13"/>
  <c r="A428" i="13"/>
  <c r="L436" i="13"/>
  <c r="K436" i="13"/>
  <c r="I436" i="13"/>
  <c r="H436" i="13"/>
  <c r="G436" i="13"/>
  <c r="F436" i="13"/>
  <c r="D436" i="13"/>
  <c r="C436" i="13"/>
  <c r="B436" i="13"/>
  <c r="A436" i="13"/>
  <c r="L260" i="13"/>
  <c r="K260" i="13"/>
  <c r="I260" i="13"/>
  <c r="H260" i="13"/>
  <c r="G260" i="13"/>
  <c r="F260" i="13"/>
  <c r="D260" i="13"/>
  <c r="C260" i="13"/>
  <c r="B260" i="13"/>
  <c r="A260" i="13"/>
  <c r="L242" i="13"/>
  <c r="K242" i="13"/>
  <c r="I242" i="13"/>
  <c r="H242" i="13"/>
  <c r="G242" i="13"/>
  <c r="F242" i="13"/>
  <c r="D242" i="13"/>
  <c r="C242" i="13"/>
  <c r="B242" i="13"/>
  <c r="A242" i="13"/>
  <c r="L358" i="13"/>
  <c r="K358" i="13"/>
  <c r="I358" i="13"/>
  <c r="H358" i="13"/>
  <c r="G358" i="13"/>
  <c r="F358" i="13"/>
  <c r="D358" i="13"/>
  <c r="C358" i="13"/>
  <c r="B358" i="13"/>
  <c r="A358" i="13"/>
  <c r="L345" i="13"/>
  <c r="K345" i="13"/>
  <c r="I345" i="13"/>
  <c r="H345" i="13"/>
  <c r="G345" i="13"/>
  <c r="F345" i="13"/>
  <c r="D345" i="13"/>
  <c r="C345" i="13"/>
  <c r="B345" i="13"/>
  <c r="A345" i="13"/>
  <c r="K690" i="13"/>
  <c r="I690" i="13"/>
  <c r="H690" i="13"/>
  <c r="G690" i="13"/>
  <c r="F690" i="13"/>
  <c r="D690" i="13"/>
  <c r="C690" i="13"/>
  <c r="B690" i="13"/>
  <c r="A690" i="13"/>
  <c r="L394" i="13"/>
  <c r="K394" i="13"/>
  <c r="I394" i="13"/>
  <c r="H394" i="13"/>
  <c r="G394" i="13"/>
  <c r="F394" i="13"/>
  <c r="D394" i="13"/>
  <c r="C394" i="13"/>
  <c r="B394" i="13"/>
  <c r="A394" i="13"/>
  <c r="L439" i="13"/>
  <c r="K439" i="13"/>
  <c r="I439" i="13"/>
  <c r="H439" i="13"/>
  <c r="G439" i="13"/>
  <c r="F439" i="13"/>
  <c r="D439" i="13"/>
  <c r="C439" i="13"/>
  <c r="B439" i="13"/>
  <c r="A439" i="13"/>
  <c r="L291" i="13"/>
  <c r="K291" i="13"/>
  <c r="I291" i="13"/>
  <c r="H291" i="13"/>
  <c r="G291" i="13"/>
  <c r="F291" i="13"/>
  <c r="D291" i="13"/>
  <c r="C291" i="13"/>
  <c r="B291" i="13"/>
  <c r="A291" i="13"/>
  <c r="L379" i="13"/>
  <c r="K379" i="13"/>
  <c r="I379" i="13"/>
  <c r="H379" i="13"/>
  <c r="G379" i="13"/>
  <c r="F379" i="13"/>
  <c r="D379" i="13"/>
  <c r="C379" i="13"/>
  <c r="B379" i="13"/>
  <c r="A379" i="13"/>
  <c r="I676" i="13"/>
  <c r="H676" i="13"/>
  <c r="G676" i="13"/>
  <c r="F676" i="13"/>
  <c r="D676" i="13"/>
  <c r="C676" i="13"/>
  <c r="B676" i="13"/>
  <c r="A676" i="13"/>
  <c r="L101" i="13"/>
  <c r="K101" i="13"/>
  <c r="I101" i="13"/>
  <c r="H101" i="13"/>
  <c r="G101" i="13"/>
  <c r="F101" i="13"/>
  <c r="D101" i="13"/>
  <c r="C101" i="13"/>
  <c r="B101" i="13"/>
  <c r="A101" i="13"/>
  <c r="L536" i="13"/>
  <c r="K536" i="13"/>
  <c r="I536" i="13"/>
  <c r="H536" i="13"/>
  <c r="G536" i="13"/>
  <c r="F536" i="13"/>
  <c r="D536" i="13"/>
  <c r="C536" i="13"/>
  <c r="B536" i="13"/>
  <c r="A536" i="13"/>
  <c r="L268" i="13"/>
  <c r="K268" i="13"/>
  <c r="I268" i="13"/>
  <c r="H268" i="13"/>
  <c r="G268" i="13"/>
  <c r="F268" i="13"/>
  <c r="D268" i="13"/>
  <c r="C268" i="13"/>
  <c r="B268" i="13"/>
  <c r="A268" i="13"/>
  <c r="L128" i="13"/>
  <c r="K128" i="13"/>
  <c r="I128" i="13"/>
  <c r="H128" i="13"/>
  <c r="G128" i="13"/>
  <c r="F128" i="13"/>
  <c r="D128" i="13"/>
  <c r="C128" i="13"/>
  <c r="B128" i="13"/>
  <c r="A128" i="13"/>
  <c r="L465" i="13"/>
  <c r="K465" i="13"/>
  <c r="I465" i="13"/>
  <c r="H465" i="13"/>
  <c r="G465" i="13"/>
  <c r="F465" i="13"/>
  <c r="D465" i="13"/>
  <c r="C465" i="13"/>
  <c r="B465" i="13"/>
  <c r="A465" i="13"/>
  <c r="L115" i="13"/>
  <c r="K115" i="13"/>
  <c r="I115" i="13"/>
  <c r="H115" i="13"/>
  <c r="G115" i="13"/>
  <c r="F115" i="13"/>
  <c r="D115" i="13"/>
  <c r="C115" i="13"/>
  <c r="B115" i="13"/>
  <c r="A115" i="13"/>
  <c r="K344" i="13"/>
  <c r="I344" i="13"/>
  <c r="H344" i="13"/>
  <c r="G344" i="13"/>
  <c r="F344" i="13"/>
  <c r="D344" i="13"/>
  <c r="C344" i="13"/>
  <c r="B344" i="13"/>
  <c r="A344" i="13"/>
  <c r="L177" i="13"/>
  <c r="K177" i="13"/>
  <c r="I177" i="13"/>
  <c r="H177" i="13"/>
  <c r="G177" i="13"/>
  <c r="F177" i="13"/>
  <c r="D177" i="13"/>
  <c r="C177" i="13"/>
  <c r="B177" i="13"/>
  <c r="A177" i="13"/>
  <c r="K336" i="13"/>
  <c r="I336" i="13"/>
  <c r="H336" i="13"/>
  <c r="G336" i="13"/>
  <c r="F336" i="13"/>
  <c r="D336" i="13"/>
  <c r="C336" i="13"/>
  <c r="B336" i="13"/>
  <c r="A336" i="13"/>
  <c r="L398" i="13"/>
  <c r="K398" i="13"/>
  <c r="I398" i="13"/>
  <c r="H398" i="13"/>
  <c r="G398" i="13"/>
  <c r="F398" i="13"/>
  <c r="D398" i="13"/>
  <c r="C398" i="13"/>
  <c r="B398" i="13"/>
  <c r="A398" i="13"/>
  <c r="L279" i="13"/>
  <c r="K279" i="13"/>
  <c r="I279" i="13"/>
  <c r="H279" i="13"/>
  <c r="G279" i="13"/>
  <c r="F279" i="13"/>
  <c r="D279" i="13"/>
  <c r="C279" i="13"/>
  <c r="B279" i="13"/>
  <c r="A279" i="13"/>
  <c r="L535" i="13"/>
  <c r="K535" i="13"/>
  <c r="I535" i="13"/>
  <c r="H535" i="13"/>
  <c r="G535" i="13"/>
  <c r="F535" i="13"/>
  <c r="D535" i="13"/>
  <c r="C535" i="13"/>
  <c r="B535" i="13"/>
  <c r="A535" i="13"/>
  <c r="L228" i="13"/>
  <c r="K228" i="13"/>
  <c r="I228" i="13"/>
  <c r="H228" i="13"/>
  <c r="G228" i="13"/>
  <c r="F228" i="13"/>
  <c r="D228" i="13"/>
  <c r="C228" i="13"/>
  <c r="B228" i="13"/>
  <c r="A228" i="13"/>
  <c r="L246" i="13"/>
  <c r="K246" i="13"/>
  <c r="I246" i="13"/>
  <c r="H246" i="13"/>
  <c r="G246" i="13"/>
  <c r="F246" i="13"/>
  <c r="D246" i="13"/>
  <c r="C246" i="13"/>
  <c r="B246" i="13"/>
  <c r="A246" i="13"/>
  <c r="L215" i="13"/>
  <c r="K215" i="13"/>
  <c r="I215" i="13"/>
  <c r="H215" i="13"/>
  <c r="G215" i="13"/>
  <c r="F215" i="13"/>
  <c r="D215" i="13"/>
  <c r="C215" i="13"/>
  <c r="B215" i="13"/>
  <c r="A215" i="13"/>
  <c r="L185" i="13"/>
  <c r="K185" i="13"/>
  <c r="I185" i="13"/>
  <c r="H185" i="13"/>
  <c r="G185" i="13"/>
  <c r="F185" i="13"/>
  <c r="D185" i="13"/>
  <c r="C185" i="13"/>
  <c r="B185" i="13"/>
  <c r="A185" i="13"/>
  <c r="K497" i="13"/>
  <c r="I497" i="13"/>
  <c r="H497" i="13"/>
  <c r="F497" i="13"/>
  <c r="D497" i="13"/>
  <c r="C497" i="13"/>
  <c r="B497" i="13"/>
  <c r="A497" i="13"/>
  <c r="L27" i="13"/>
  <c r="K27" i="13"/>
  <c r="I27" i="13"/>
  <c r="H27" i="13"/>
  <c r="G27" i="13"/>
  <c r="F27" i="13"/>
  <c r="D27" i="13"/>
  <c r="C27" i="13"/>
  <c r="B27" i="13"/>
  <c r="A27" i="13"/>
  <c r="L417" i="13"/>
  <c r="K417" i="13"/>
  <c r="I417" i="13"/>
  <c r="H417" i="13"/>
  <c r="G417" i="13"/>
  <c r="F417" i="13"/>
  <c r="D417" i="13"/>
  <c r="C417" i="13"/>
  <c r="B417" i="13"/>
  <c r="A417" i="13"/>
  <c r="L315" i="13"/>
  <c r="K315" i="13"/>
  <c r="I315" i="13"/>
  <c r="H315" i="13"/>
  <c r="G315" i="13"/>
  <c r="F315" i="13"/>
  <c r="D315" i="13"/>
  <c r="C315" i="13"/>
  <c r="B315" i="13"/>
  <c r="A315" i="13"/>
  <c r="L314" i="13"/>
  <c r="K314" i="13"/>
  <c r="I314" i="13"/>
  <c r="H314" i="13"/>
  <c r="G314" i="13"/>
  <c r="F314" i="13"/>
  <c r="D314" i="13"/>
  <c r="C314" i="13"/>
  <c r="B314" i="13"/>
  <c r="A314" i="13"/>
  <c r="L213" i="13"/>
  <c r="K213" i="13"/>
  <c r="I213" i="13"/>
  <c r="H213" i="13"/>
  <c r="G213" i="13"/>
  <c r="F213" i="13"/>
  <c r="D213" i="13"/>
  <c r="C213" i="13"/>
  <c r="B213" i="13"/>
  <c r="A213" i="13"/>
  <c r="L29" i="13"/>
  <c r="K29" i="13"/>
  <c r="I29" i="13"/>
  <c r="H29" i="13"/>
  <c r="G29" i="13"/>
  <c r="F29" i="13"/>
  <c r="D29" i="13"/>
  <c r="C29" i="13"/>
  <c r="B29" i="13"/>
  <c r="A29" i="13"/>
  <c r="L164" i="13"/>
  <c r="K164" i="13"/>
  <c r="I164" i="13"/>
  <c r="H164" i="13"/>
  <c r="G164" i="13"/>
  <c r="F164" i="13"/>
  <c r="D164" i="13"/>
  <c r="C164" i="13"/>
  <c r="B164" i="13"/>
  <c r="A164" i="13"/>
  <c r="L233" i="13"/>
  <c r="K233" i="13"/>
  <c r="I233" i="13"/>
  <c r="H233" i="13"/>
  <c r="G233" i="13"/>
  <c r="F233" i="13"/>
  <c r="D233" i="13"/>
  <c r="C233" i="13"/>
  <c r="B233" i="13"/>
  <c r="A233" i="13"/>
  <c r="L504" i="13"/>
  <c r="K504" i="13"/>
  <c r="I504" i="13"/>
  <c r="H504" i="13"/>
  <c r="G504" i="13"/>
  <c r="F504" i="13"/>
  <c r="D504" i="13"/>
  <c r="C504" i="13"/>
  <c r="B504" i="13"/>
  <c r="A504" i="13"/>
  <c r="L642" i="13"/>
  <c r="K642" i="13"/>
  <c r="I642" i="13"/>
  <c r="H642" i="13"/>
  <c r="G642" i="13"/>
  <c r="F642" i="13"/>
  <c r="D642" i="13"/>
  <c r="C642" i="13"/>
  <c r="B642" i="13"/>
  <c r="A642" i="13"/>
  <c r="K1" i="13"/>
  <c r="J1" i="13"/>
</calcChain>
</file>

<file path=xl/sharedStrings.xml><?xml version="1.0" encoding="utf-8"?>
<sst xmlns="http://schemas.openxmlformats.org/spreadsheetml/2006/main" count="2485" uniqueCount="412">
  <si>
    <t>PRéNOM</t>
  </si>
  <si>
    <t>NOM</t>
  </si>
  <si>
    <t>SEXE</t>
  </si>
  <si>
    <t>CATéGORIE</t>
  </si>
  <si>
    <t>DATE DE NAISSANCE</t>
  </si>
  <si>
    <t>CLUB</t>
  </si>
  <si>
    <t>ÉPREUVE</t>
  </si>
  <si>
    <t># DE MEMBRE</t>
  </si>
  <si>
    <t>ASSOCIATION MEMBRE</t>
  </si>
  <si>
    <t>NOTES ADMINISTRATIVES</t>
  </si>
  <si>
    <t/>
  </si>
  <si>
    <t>Ayman</t>
  </si>
  <si>
    <t>Bakri</t>
  </si>
  <si>
    <t>M</t>
  </si>
  <si>
    <t>Club de judo Métropolitain inc.</t>
  </si>
  <si>
    <t>-66kg</t>
  </si>
  <si>
    <t>0211695</t>
  </si>
  <si>
    <t>QC</t>
  </si>
  <si>
    <t>Pierre-Henry</t>
  </si>
  <si>
    <t>Quiedeville</t>
  </si>
  <si>
    <t>Club de judo de la vieille capitale</t>
  </si>
  <si>
    <t>-60kg</t>
  </si>
  <si>
    <t>0223464</t>
  </si>
  <si>
    <t>Olivier</t>
  </si>
  <si>
    <t>Legault</t>
  </si>
  <si>
    <t>Club de judo Olympique</t>
  </si>
  <si>
    <t>0189014</t>
  </si>
  <si>
    <t>Félix-Olivier</t>
  </si>
  <si>
    <t>Bertrand</t>
  </si>
  <si>
    <t>Club de judo St-Jean Bosco de Hull</t>
  </si>
  <si>
    <t>-55kg</t>
  </si>
  <si>
    <t>0176269</t>
  </si>
  <si>
    <t>William</t>
  </si>
  <si>
    <t>Caron</t>
  </si>
  <si>
    <t>Kime-Waza  Joliette</t>
  </si>
  <si>
    <t>0173659</t>
  </si>
  <si>
    <t>Félix</t>
  </si>
  <si>
    <t>Archambault</t>
  </si>
  <si>
    <t>Club de judo Saint-Hyacinthe Inc.</t>
  </si>
  <si>
    <t>0161072</t>
  </si>
  <si>
    <t>Felix</t>
  </si>
  <si>
    <t>Mercier Ross</t>
  </si>
  <si>
    <t>0204120</t>
  </si>
  <si>
    <t>Artem</t>
  </si>
  <si>
    <t>Shaporin</t>
  </si>
  <si>
    <t>0197662</t>
  </si>
  <si>
    <t>Jacob</t>
  </si>
  <si>
    <t>Trudel</t>
  </si>
  <si>
    <t>Club de Judo et de Ju-Jitsu Juvaldo inc.</t>
  </si>
  <si>
    <t>0152930</t>
  </si>
  <si>
    <t>Justine</t>
  </si>
  <si>
    <t>Simard</t>
  </si>
  <si>
    <t>F</t>
  </si>
  <si>
    <t>-63kg</t>
  </si>
  <si>
    <t>0238300</t>
  </si>
  <si>
    <t>Simon</t>
  </si>
  <si>
    <t>Vallière</t>
  </si>
  <si>
    <t>-81kg</t>
  </si>
  <si>
    <t>0175406</t>
  </si>
  <si>
    <t>Eliot</t>
  </si>
  <si>
    <t>Allaire</t>
  </si>
  <si>
    <t>-73kg</t>
  </si>
  <si>
    <t>0183830</t>
  </si>
  <si>
    <t>Xavier</t>
  </si>
  <si>
    <t>Godbout</t>
  </si>
  <si>
    <t>0198512</t>
  </si>
  <si>
    <t>Guillaume</t>
  </si>
  <si>
    <t>Gaulin</t>
  </si>
  <si>
    <t>0138661</t>
  </si>
  <si>
    <t>Leo</t>
  </si>
  <si>
    <t>Arencibia</t>
  </si>
  <si>
    <t>Club de judo Shidokan inc.</t>
  </si>
  <si>
    <t>0225165</t>
  </si>
  <si>
    <t>David</t>
  </si>
  <si>
    <t>Popovici</t>
  </si>
  <si>
    <t>0201231</t>
  </si>
  <si>
    <t>Marc-Alexandre</t>
  </si>
  <si>
    <t>Guérin</t>
  </si>
  <si>
    <t>Club judokas Jonquière inc.</t>
  </si>
  <si>
    <t>0163304</t>
  </si>
  <si>
    <t>Victor</t>
  </si>
  <si>
    <t>Dessureault</t>
  </si>
  <si>
    <t>0192159</t>
  </si>
  <si>
    <t>Alexandre</t>
  </si>
  <si>
    <t>Desbiens</t>
  </si>
  <si>
    <t>-50kg</t>
  </si>
  <si>
    <t>0163277</t>
  </si>
  <si>
    <t>Laurence</t>
  </si>
  <si>
    <t>Biron</t>
  </si>
  <si>
    <t>Club de judo de Varennes</t>
  </si>
  <si>
    <t>0172969</t>
  </si>
  <si>
    <t>Lara</t>
  </si>
  <si>
    <t>Normil</t>
  </si>
  <si>
    <t>0217568</t>
  </si>
  <si>
    <t>Yuriy</t>
  </si>
  <si>
    <t>Semenyuk</t>
  </si>
  <si>
    <t>0197665</t>
  </si>
  <si>
    <t>Nikita</t>
  </si>
  <si>
    <t>Mostovoi</t>
  </si>
  <si>
    <t>0223680</t>
  </si>
  <si>
    <t>Lemieux</t>
  </si>
  <si>
    <t>Club de judo Fermont</t>
  </si>
  <si>
    <t>0208176</t>
  </si>
  <si>
    <t>Abdessamad</t>
  </si>
  <si>
    <t>Borsla</t>
  </si>
  <si>
    <t>0175408</t>
  </si>
  <si>
    <t>Marianne</t>
  </si>
  <si>
    <t>Roux</t>
  </si>
  <si>
    <t>0197470</t>
  </si>
  <si>
    <t>Mélila</t>
  </si>
  <si>
    <t>Sahraoui</t>
  </si>
  <si>
    <t>Bassaid</t>
  </si>
  <si>
    <t>Rassim</t>
  </si>
  <si>
    <t>Rami Cherif</t>
  </si>
  <si>
    <t>Bloshtein</t>
  </si>
  <si>
    <t>Eric</t>
  </si>
  <si>
    <t>Bourque-Leclair</t>
  </si>
  <si>
    <t>Damon</t>
  </si>
  <si>
    <t>Cuerrier</t>
  </si>
  <si>
    <t>Damou</t>
  </si>
  <si>
    <t>Nicolas</t>
  </si>
  <si>
    <t>Massé</t>
  </si>
  <si>
    <t>Lisande</t>
  </si>
  <si>
    <t>Nahm</t>
  </si>
  <si>
    <t>Yoonho</t>
  </si>
  <si>
    <t>Nana</t>
  </si>
  <si>
    <t>Keran</t>
  </si>
  <si>
    <t xml:space="preserve">Ndong </t>
  </si>
  <si>
    <t>Nubia</t>
  </si>
  <si>
    <t>St Hilaire</t>
  </si>
  <si>
    <t>Étienne</t>
  </si>
  <si>
    <t>Carruthers</t>
  </si>
  <si>
    <t>Mussoke</t>
  </si>
  <si>
    <t>Gallien</t>
  </si>
  <si>
    <t>Houle</t>
  </si>
  <si>
    <t>Joackim</t>
  </si>
  <si>
    <t>Nadon</t>
  </si>
  <si>
    <t>Justin</t>
  </si>
  <si>
    <t xml:space="preserve">Andres </t>
  </si>
  <si>
    <t>Adrian</t>
  </si>
  <si>
    <t>El Moutawakkil</t>
  </si>
  <si>
    <t>Mohamed</t>
  </si>
  <si>
    <t>Benjamin</t>
  </si>
  <si>
    <t>Gonzales-tucas</t>
  </si>
  <si>
    <t>Leftraru</t>
  </si>
  <si>
    <t>Rosa</t>
  </si>
  <si>
    <t xml:space="preserve">Maxime </t>
  </si>
  <si>
    <t>Picot</t>
  </si>
  <si>
    <t>Fabien</t>
  </si>
  <si>
    <t>York</t>
  </si>
  <si>
    <t>Judo Monde</t>
  </si>
  <si>
    <t>seul</t>
  </si>
  <si>
    <t xml:space="preserve">Nicholas </t>
  </si>
  <si>
    <t>Doré</t>
  </si>
  <si>
    <t xml:space="preserve">Fabian </t>
  </si>
  <si>
    <t>Gallardo Paquette</t>
  </si>
  <si>
    <t>Takahashi Dojo</t>
  </si>
  <si>
    <t>U16</t>
  </si>
  <si>
    <t>Club Judo Ben Inc.</t>
  </si>
  <si>
    <t>Alexandru</t>
  </si>
  <si>
    <t>Fratea</t>
  </si>
  <si>
    <t>Judo Olympique</t>
  </si>
  <si>
    <t>ON</t>
  </si>
  <si>
    <t>2k</t>
  </si>
  <si>
    <t>2k+</t>
  </si>
  <si>
    <t>5k</t>
  </si>
  <si>
    <t>5k+</t>
  </si>
  <si>
    <t>1k</t>
  </si>
  <si>
    <t>1D</t>
  </si>
  <si>
    <t>2D</t>
  </si>
  <si>
    <t>catégorie</t>
  </si>
  <si>
    <t>4k</t>
  </si>
  <si>
    <t>4k+</t>
  </si>
  <si>
    <t>3D</t>
  </si>
  <si>
    <t>3k</t>
  </si>
  <si>
    <t>3k+</t>
  </si>
  <si>
    <t>U12F</t>
  </si>
  <si>
    <t>U12M</t>
  </si>
  <si>
    <t>U14F -29JO</t>
  </si>
  <si>
    <t>U14F +63JO</t>
  </si>
  <si>
    <t>seule</t>
  </si>
  <si>
    <t>U14F -63JO</t>
  </si>
  <si>
    <t>U14F -48JO</t>
  </si>
  <si>
    <t>U14F -40JO</t>
  </si>
  <si>
    <t>U14F -32JO</t>
  </si>
  <si>
    <t>U14F -36JO</t>
  </si>
  <si>
    <t>U14F -44JO</t>
  </si>
  <si>
    <t>U14F -52JO</t>
  </si>
  <si>
    <t>U14F -57JO</t>
  </si>
  <si>
    <t>U14F +63V+</t>
  </si>
  <si>
    <t>U14F -32V+</t>
  </si>
  <si>
    <t>U14F -52V+</t>
  </si>
  <si>
    <t>U14F -57V+</t>
  </si>
  <si>
    <t>U14F -44V+</t>
  </si>
  <si>
    <t>U14F -36V+</t>
  </si>
  <si>
    <t>U14F -48V+</t>
  </si>
  <si>
    <t>U14M +66V+</t>
  </si>
  <si>
    <t>U14M -34V+</t>
  </si>
  <si>
    <t>U14M -38V+</t>
  </si>
  <si>
    <t>U14M -60V+</t>
  </si>
  <si>
    <t>U14M -50V+</t>
  </si>
  <si>
    <t>U14M -55V+</t>
  </si>
  <si>
    <t>U14M -46V+</t>
  </si>
  <si>
    <t>U14M -42V+</t>
  </si>
  <si>
    <t>+66kg</t>
  </si>
  <si>
    <t>U14M +66JO</t>
  </si>
  <si>
    <t>U14M -34JO</t>
  </si>
  <si>
    <t>U14M -38JO</t>
  </si>
  <si>
    <t>U14M -42JO</t>
  </si>
  <si>
    <t>favori</t>
  </si>
  <si>
    <t>U14M -50JO</t>
  </si>
  <si>
    <t>U14M -60JO</t>
  </si>
  <si>
    <t>U14M -66JO</t>
  </si>
  <si>
    <t>U14M -55JO</t>
  </si>
  <si>
    <t>U14M -46JO</t>
  </si>
  <si>
    <t>U14M -31JO</t>
  </si>
  <si>
    <t>U16F -44JO</t>
  </si>
  <si>
    <t>U16F -48JO</t>
  </si>
  <si>
    <t>U16F -57JO</t>
  </si>
  <si>
    <t>U16F +70V+</t>
  </si>
  <si>
    <t>U16F -40V+</t>
  </si>
  <si>
    <t>U16F -44V+</t>
  </si>
  <si>
    <t>U16F -48V+</t>
  </si>
  <si>
    <t>U16F -52V+</t>
  </si>
  <si>
    <t>U16F -57V+</t>
  </si>
  <si>
    <t>U16F -63V+</t>
  </si>
  <si>
    <t>U16F -70V+</t>
  </si>
  <si>
    <t>U16M +73V+</t>
  </si>
  <si>
    <t>U16M -38V+</t>
  </si>
  <si>
    <t>U16M -42V+</t>
  </si>
  <si>
    <t>U16M -46V+</t>
  </si>
  <si>
    <t>U16M -50V+</t>
  </si>
  <si>
    <t>U16M -55V+</t>
  </si>
  <si>
    <t>U16M -60V+</t>
  </si>
  <si>
    <t>U16M -66V+</t>
  </si>
  <si>
    <t>U16M -73V+</t>
  </si>
  <si>
    <t>U16M -38JO</t>
  </si>
  <si>
    <t>U16M -42JO</t>
  </si>
  <si>
    <t>U16M -46JO</t>
  </si>
  <si>
    <t>U16M -55JO</t>
  </si>
  <si>
    <t>U16M -66JO</t>
  </si>
  <si>
    <t>U16M -73JO</t>
  </si>
  <si>
    <t>U16M -60JO</t>
  </si>
  <si>
    <t>U16M -50JO</t>
  </si>
  <si>
    <t>U18F -57JO</t>
  </si>
  <si>
    <t>U18F -63JO</t>
  </si>
  <si>
    <t>U18F -48V+</t>
  </si>
  <si>
    <t>U18F -57V+</t>
  </si>
  <si>
    <t>U18F  -52V+</t>
  </si>
  <si>
    <t>U18F  -63V+</t>
  </si>
  <si>
    <t>U18F -70V+</t>
  </si>
  <si>
    <t>U18M -60JO</t>
  </si>
  <si>
    <t>U18M -73JO</t>
  </si>
  <si>
    <t>U18M -66JO</t>
  </si>
  <si>
    <t>U18M -46V+</t>
  </si>
  <si>
    <t>U18M -55V+</t>
  </si>
  <si>
    <t>U18M -60V+</t>
  </si>
  <si>
    <t>U18M -50V+</t>
  </si>
  <si>
    <t>U18M -90V+</t>
  </si>
  <si>
    <t>U18M -81V+</t>
  </si>
  <si>
    <t>U18M -66V+</t>
  </si>
  <si>
    <t>U18M -73V+</t>
  </si>
  <si>
    <t>dérogation ok</t>
  </si>
  <si>
    <t>dérogation ?</t>
  </si>
  <si>
    <t>date de naissance ?</t>
  </si>
  <si>
    <t>U21/SenF -63JO</t>
  </si>
  <si>
    <t>U21/SenF -48V+</t>
  </si>
  <si>
    <t>U21/SenF -57V+</t>
  </si>
  <si>
    <t>U21/SenF -63V+</t>
  </si>
  <si>
    <t>U21/SenF -70V+</t>
  </si>
  <si>
    <t>avec JO ?</t>
  </si>
  <si>
    <t>avec JO?</t>
  </si>
  <si>
    <t>U21/SenM -90JOV</t>
  </si>
  <si>
    <t>U21/SenM -73JOV</t>
  </si>
  <si>
    <t>U21/SenM -66JOV</t>
  </si>
  <si>
    <t>U21/SenM -100JOV</t>
  </si>
  <si>
    <t>U21/SenM +100JOV</t>
  </si>
  <si>
    <t>U21/SenM +100B+</t>
  </si>
  <si>
    <t>U21/SenM -60B+</t>
  </si>
  <si>
    <t>U21/SenM -73B+</t>
  </si>
  <si>
    <t>U21/SenM -90B+</t>
  </si>
  <si>
    <t>U21/SenM -81B+</t>
  </si>
  <si>
    <t>U21/SenM -66B+</t>
  </si>
  <si>
    <t>U21/SenM -100B+</t>
  </si>
  <si>
    <t>M8</t>
  </si>
  <si>
    <t>M5</t>
  </si>
  <si>
    <t>M4</t>
  </si>
  <si>
    <t>M3</t>
  </si>
  <si>
    <t>M2</t>
  </si>
  <si>
    <t>M1</t>
  </si>
  <si>
    <t>M3-M4 +100</t>
  </si>
  <si>
    <t>M1-M3 -73</t>
  </si>
  <si>
    <t>M5-M8 -90</t>
  </si>
  <si>
    <t>M2-M5 -90</t>
  </si>
  <si>
    <t>M2-M4 -100</t>
  </si>
  <si>
    <t>M1-M3 -81</t>
  </si>
  <si>
    <t>M5 (valider catégorie)</t>
  </si>
  <si>
    <t>M3-M4 -81JOV</t>
  </si>
  <si>
    <t>U21/SenM -55B+</t>
  </si>
  <si>
    <t>Angeline</t>
  </si>
  <si>
    <t>Simard Angeline</t>
  </si>
  <si>
    <t>U14</t>
  </si>
  <si>
    <t>Club de judo Sakura de Baie St-Paul</t>
  </si>
  <si>
    <t>+63kg</t>
  </si>
  <si>
    <t>0201656</t>
  </si>
  <si>
    <t>Malie</t>
  </si>
  <si>
    <t>Charbonneau</t>
  </si>
  <si>
    <t>Club de Judo Haut-Richelieu</t>
  </si>
  <si>
    <t>-32kg</t>
  </si>
  <si>
    <t>0188691</t>
  </si>
  <si>
    <t>Catherine</t>
  </si>
  <si>
    <t>Gauthier</t>
  </si>
  <si>
    <t>Club de judo Albatros Inc.</t>
  </si>
  <si>
    <t>-36kg</t>
  </si>
  <si>
    <t>0189836</t>
  </si>
  <si>
    <t>Leanne</t>
  </si>
  <si>
    <t>Dussault</t>
  </si>
  <si>
    <t>Club de Judo d'Asbestos-Danville</t>
  </si>
  <si>
    <t>-44kg</t>
  </si>
  <si>
    <t>0189104</t>
  </si>
  <si>
    <t>Eli-Rose</t>
  </si>
  <si>
    <t>Bouchard</t>
  </si>
  <si>
    <t>Club de judo Multikyo</t>
  </si>
  <si>
    <t>-52kg</t>
  </si>
  <si>
    <t>0199900</t>
  </si>
  <si>
    <t>Leelou</t>
  </si>
  <si>
    <t>Mallette</t>
  </si>
  <si>
    <t>Club de Judo Multisports</t>
  </si>
  <si>
    <t>0215028</t>
  </si>
  <si>
    <t>Anavik</t>
  </si>
  <si>
    <t>Goulet</t>
  </si>
  <si>
    <t>-57kg</t>
  </si>
  <si>
    <t>0412098</t>
  </si>
  <si>
    <t>Ouellet</t>
  </si>
  <si>
    <t>Club Judo Mascouche</t>
  </si>
  <si>
    <t>0234894</t>
  </si>
  <si>
    <t>Mélodie</t>
  </si>
  <si>
    <t>St-Onge</t>
  </si>
  <si>
    <t>-70kg</t>
  </si>
  <si>
    <t>0175310</t>
  </si>
  <si>
    <t>Isaac</t>
  </si>
  <si>
    <t>L'heureux</t>
  </si>
  <si>
    <t>Judo Mont-Bruno</t>
  </si>
  <si>
    <t>0229097</t>
  </si>
  <si>
    <t>Sekina</t>
  </si>
  <si>
    <t>U18</t>
  </si>
  <si>
    <t>0185153</t>
  </si>
  <si>
    <t>Elodie</t>
  </si>
  <si>
    <t>Massicotte</t>
  </si>
  <si>
    <t>Club de judo Seïkidokan inc.</t>
  </si>
  <si>
    <t>0232051</t>
  </si>
  <si>
    <t>Miranda</t>
  </si>
  <si>
    <t>St-Laurent</t>
  </si>
  <si>
    <t>Club de judo Torakai</t>
  </si>
  <si>
    <t>0186242</t>
  </si>
  <si>
    <t>Roy</t>
  </si>
  <si>
    <t>-46kg</t>
  </si>
  <si>
    <t>0162278</t>
  </si>
  <si>
    <t>Elias</t>
  </si>
  <si>
    <t>Louahla</t>
  </si>
  <si>
    <t>-90kg</t>
  </si>
  <si>
    <t>0221733</t>
  </si>
  <si>
    <t>Mohamed Chaouki</t>
  </si>
  <si>
    <t>Ouahmed</t>
  </si>
  <si>
    <t>U21/Sénior (seulement)</t>
  </si>
  <si>
    <t>Budokan Saint-Laurent</t>
  </si>
  <si>
    <t>+100kg</t>
  </si>
  <si>
    <t>0234853</t>
  </si>
  <si>
    <t>Carlos</t>
  </si>
  <si>
    <t>Arredondo</t>
  </si>
  <si>
    <t>Arts martiaux Budokai inc.</t>
  </si>
  <si>
    <t>-100kg</t>
  </si>
  <si>
    <t>0146653</t>
  </si>
  <si>
    <t>U21</t>
  </si>
  <si>
    <t>Emin</t>
  </si>
  <si>
    <t>Aslan</t>
  </si>
  <si>
    <t>AutreFederation</t>
  </si>
  <si>
    <t>Athlètes seuls dans leur catégorie, regroupement à faire sur place, si possible</t>
  </si>
  <si>
    <t>Inscriptions non conformes ou incomplètes</t>
  </si>
  <si>
    <t>Amina Sofia</t>
  </si>
  <si>
    <t>Rahal</t>
  </si>
  <si>
    <t>-48kg</t>
  </si>
  <si>
    <t>0196144</t>
  </si>
  <si>
    <t>Frederique</t>
  </si>
  <si>
    <t>Lavigne</t>
  </si>
  <si>
    <t>0197620</t>
  </si>
  <si>
    <t>Vincent</t>
  </si>
  <si>
    <t>Nepton</t>
  </si>
  <si>
    <t>-38kg</t>
  </si>
  <si>
    <t>0184297</t>
  </si>
  <si>
    <t>Neyolov</t>
  </si>
  <si>
    <t>Taifu Judo Club</t>
  </si>
  <si>
    <t>-42kg</t>
  </si>
  <si>
    <t>0193583</t>
  </si>
  <si>
    <t>Denis</t>
  </si>
  <si>
    <t>0192343</t>
  </si>
  <si>
    <t>Abdelmadjid</t>
  </si>
  <si>
    <t>Tayeb-Cherif</t>
  </si>
  <si>
    <t>0013240</t>
  </si>
  <si>
    <t>Samson</t>
  </si>
  <si>
    <t>Gill</t>
  </si>
  <si>
    <t>0213818</t>
  </si>
  <si>
    <t>dérogation U14 pour U16 ?</t>
  </si>
  <si>
    <t>Division</t>
  </si>
  <si>
    <t>2006</t>
  </si>
  <si>
    <t>2007</t>
  </si>
  <si>
    <t>2005</t>
  </si>
  <si>
    <t>2003</t>
  </si>
  <si>
    <t>1987</t>
  </si>
  <si>
    <t>1990</t>
  </si>
  <si>
    <t>1986</t>
  </si>
  <si>
    <t>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</si>
</sst>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14">
    <xf numFmtId="0" fontId="0" fillId="0" borderId="0" xfId="0"/>
    <xf numFmtId="0" fontId="0" fillId="33" borderId="0" xfId="0" applyFill="1"/>
    <xf numFmtId="0" fontId="0" fillId="0" borderId="0" xfId="0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164" fontId="0" fillId="37" borderId="0" xfId="0" applyNumberFormat="1" applyFill="1"/>
    <xf numFmtId="0" fontId="0" fillId="36" borderId="0" xfId="0" quotePrefix="1" applyFill="1"/>
    <xf numFmtId="164" fontId="0" fillId="38" borderId="0" xfId="0" applyNumberFormat="1" applyFill="1"/>
    <xf numFmtId="0" fontId="0" fillId="39" borderId="0" xfId="0" applyFill="1"/>
    <xf numFmtId="0" fontId="0" fillId="0" borderId="0" xfId="0" applyFill="1"/>
    <xf numFmtId="0" fontId="19" fillId="0" borderId="0" xfId="0" applyFont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a 2" xfId="43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6"/>
  <sheetViews>
    <sheetView tabSelected="1" workbookViewId="0">
      <pane xSplit="2" ySplit="1" topLeftCell="C203" activePane="bottomRight" state="frozen"/>
      <selection activeCell="H1" sqref="H1"/>
      <selection pane="topRight" activeCell="L1" sqref="L1"/>
      <selection pane="bottomLeft" activeCell="H2" sqref="H2"/>
      <selection pane="bottomRight" activeCell="E1" sqref="E1:F1048576"/>
    </sheetView>
  </sheetViews>
  <sheetFormatPr baseColWidth="10" defaultColWidth="8.85546875" defaultRowHeight="15" x14ac:dyDescent="0.25"/>
  <cols>
    <col min="1" max="2" width="17.42578125" style="2" customWidth="1"/>
    <col min="3" max="3" width="9.28515625" style="2" customWidth="1"/>
    <col min="4" max="4" width="12.7109375" style="2" customWidth="1"/>
    <col min="5" max="5" width="10.85546875" style="2" customWidth="1"/>
    <col min="6" max="6" width="30.5703125" style="2" customWidth="1"/>
    <col min="7" max="7" width="8.85546875" style="2"/>
    <col min="8" max="9" width="8.85546875" style="2" customWidth="1"/>
    <col min="10" max="10" width="8" style="2" customWidth="1"/>
    <col min="11" max="11" width="21.5703125" style="2" customWidth="1"/>
    <col min="12" max="12" width="20.140625" style="2" customWidth="1"/>
    <col min="13" max="13" width="17" style="2" customWidth="1"/>
    <col min="14" max="16384" width="8.85546875" style="2"/>
  </cols>
  <sheetData>
    <row r="1" spans="1:14" x14ac:dyDescent="0.25">
      <c r="A1" s="2" t="s">
        <v>0</v>
      </c>
      <c r="B1" s="2" t="s">
        <v>1</v>
      </c>
      <c r="C1" s="2" t="s">
        <v>2</v>
      </c>
      <c r="D1" s="2" t="s">
        <v>403</v>
      </c>
      <c r="F1" s="2" t="s">
        <v>5</v>
      </c>
      <c r="G1" s="2" t="s">
        <v>6</v>
      </c>
      <c r="H1" s="2" t="s">
        <v>7</v>
      </c>
      <c r="I1" s="2" t="s">
        <v>8</v>
      </c>
      <c r="J1" s="2" t="str">
        <f>"CEINTURE"</f>
        <v>CEINTURE</v>
      </c>
      <c r="K1" s="2" t="str">
        <f>"POIDS - POUR LE U12 ET V?T?RANS"</f>
        <v>POIDS - POUR LE U12 ET V?T?RANS</v>
      </c>
      <c r="L1" s="2" t="s">
        <v>9</v>
      </c>
      <c r="M1" s="2" t="s">
        <v>170</v>
      </c>
      <c r="N1" s="2" t="s">
        <v>209</v>
      </c>
    </row>
    <row r="2" spans="1:14" x14ac:dyDescent="0.25">
      <c r="A2" s="2" t="str">
        <f>"Eleonore"</f>
        <v>Eleonore</v>
      </c>
      <c r="B2" s="2" t="str">
        <f>"Blouin"</f>
        <v>Blouin</v>
      </c>
      <c r="C2" s="2" t="str">
        <f t="shared" ref="C2:C23" si="0">"F"</f>
        <v>F</v>
      </c>
      <c r="D2" s="2" t="str">
        <f t="shared" ref="D2:D33" si="1">"U12"</f>
        <v>U12</v>
      </c>
      <c r="E2" s="2">
        <v>2008</v>
      </c>
      <c r="F2" s="2" t="str">
        <f>"Club de judo Vallée du Richelieu"</f>
        <v>Club de judo Vallée du Richelieu</v>
      </c>
      <c r="G2" s="2" t="str">
        <f>"-36kg"</f>
        <v>-36kg</v>
      </c>
      <c r="H2" s="2" t="str">
        <f>"0206575"</f>
        <v>0206575</v>
      </c>
      <c r="I2" s="2" t="str">
        <f t="shared" ref="I2:I11" si="2">"QC"</f>
        <v>QC</v>
      </c>
      <c r="J2" s="2" t="s">
        <v>171</v>
      </c>
      <c r="K2" s="2" t="str">
        <f>""</f>
        <v/>
      </c>
      <c r="L2" s="2" t="str">
        <f>""</f>
        <v/>
      </c>
      <c r="M2" s="2" t="s">
        <v>176</v>
      </c>
    </row>
    <row r="3" spans="1:14" x14ac:dyDescent="0.25">
      <c r="A3" s="2" t="str">
        <f>"Romy"</f>
        <v>Romy</v>
      </c>
      <c r="B3" s="2" t="str">
        <f>"Caron"</f>
        <v>Caron</v>
      </c>
      <c r="C3" s="2" t="str">
        <f t="shared" si="0"/>
        <v>F</v>
      </c>
      <c r="D3" s="2" t="str">
        <f t="shared" si="1"/>
        <v>U12</v>
      </c>
      <c r="E3" s="2">
        <v>2009</v>
      </c>
      <c r="F3" s="2" t="str">
        <f>"Club de judo Métropolitain inc."</f>
        <v>Club de judo Métropolitain inc.</v>
      </c>
      <c r="G3" s="2" t="str">
        <f>"-30kg"</f>
        <v>-30kg</v>
      </c>
      <c r="H3" s="2" t="str">
        <f>"0213809"</f>
        <v>0213809</v>
      </c>
      <c r="I3" s="2" t="str">
        <f t="shared" si="2"/>
        <v>QC</v>
      </c>
      <c r="J3" s="2" t="s">
        <v>171</v>
      </c>
      <c r="K3" s="2" t="str">
        <f>""</f>
        <v/>
      </c>
      <c r="L3" s="2" t="str">
        <f>""</f>
        <v/>
      </c>
      <c r="M3" s="2" t="s">
        <v>176</v>
      </c>
    </row>
    <row r="4" spans="1:14" x14ac:dyDescent="0.25">
      <c r="A4" s="2" t="str">
        <f>"Maeva"</f>
        <v>Maeva</v>
      </c>
      <c r="B4" s="2" t="str">
        <f>"Casimir-Longfils"</f>
        <v>Casimir-Longfils</v>
      </c>
      <c r="C4" s="2" t="str">
        <f t="shared" si="0"/>
        <v>F</v>
      </c>
      <c r="D4" s="2" t="str">
        <f t="shared" si="1"/>
        <v>U12</v>
      </c>
      <c r="E4" s="2">
        <v>2008</v>
      </c>
      <c r="F4" s="2" t="str">
        <f>"Club de judo St-Paul l'Ermite"</f>
        <v>Club de judo St-Paul l'Ermite</v>
      </c>
      <c r="G4" s="2" t="str">
        <f>"-33kg"</f>
        <v>-33kg</v>
      </c>
      <c r="H4" s="2" t="str">
        <f>"0217800"</f>
        <v>0217800</v>
      </c>
      <c r="I4" s="2" t="str">
        <f t="shared" si="2"/>
        <v>QC</v>
      </c>
      <c r="J4" s="2" t="s">
        <v>166</v>
      </c>
      <c r="K4" s="2" t="str">
        <f>""</f>
        <v/>
      </c>
      <c r="L4" s="2" t="str">
        <f>""</f>
        <v/>
      </c>
      <c r="M4" s="2" t="s">
        <v>176</v>
      </c>
    </row>
    <row r="5" spans="1:14" x14ac:dyDescent="0.25">
      <c r="A5" s="2" t="str">
        <f>"Marielle"</f>
        <v>Marielle</v>
      </c>
      <c r="B5" s="2" t="str">
        <f>"Charneau"</f>
        <v>Charneau</v>
      </c>
      <c r="C5" s="2" t="str">
        <f t="shared" si="0"/>
        <v>F</v>
      </c>
      <c r="D5" s="2" t="str">
        <f t="shared" si="1"/>
        <v>U12</v>
      </c>
      <c r="E5" s="2">
        <v>2008</v>
      </c>
      <c r="F5" s="2" t="str">
        <f>"Club de judo St-Paul l'Ermite"</f>
        <v>Club de judo St-Paul l'Ermite</v>
      </c>
      <c r="G5" s="2" t="str">
        <f>"-27kg"</f>
        <v>-27kg</v>
      </c>
      <c r="H5" s="2" t="str">
        <f>"0217809"</f>
        <v>0217809</v>
      </c>
      <c r="I5" s="2" t="str">
        <f t="shared" si="2"/>
        <v>QC</v>
      </c>
      <c r="J5" s="2" t="s">
        <v>171</v>
      </c>
      <c r="K5" s="2" t="str">
        <f>""</f>
        <v/>
      </c>
      <c r="L5" s="2" t="str">
        <f>""</f>
        <v/>
      </c>
      <c r="M5" s="2" t="s">
        <v>176</v>
      </c>
    </row>
    <row r="6" spans="1:14" x14ac:dyDescent="0.25">
      <c r="A6" s="2" t="str">
        <f>"Kate"</f>
        <v>Kate</v>
      </c>
      <c r="B6" s="2" t="str">
        <f>"Cisell"</f>
        <v>Cisell</v>
      </c>
      <c r="C6" s="2" t="str">
        <f t="shared" si="0"/>
        <v>F</v>
      </c>
      <c r="D6" s="2" t="str">
        <f t="shared" si="1"/>
        <v>U12</v>
      </c>
      <c r="E6" s="2">
        <v>2009</v>
      </c>
      <c r="F6" s="2" t="str">
        <f>"Judo Drummondville"</f>
        <v>Judo Drummondville</v>
      </c>
      <c r="G6" s="2" t="str">
        <f>"-33kg"</f>
        <v>-33kg</v>
      </c>
      <c r="H6" s="2" t="str">
        <f>"0226632"</f>
        <v>0226632</v>
      </c>
      <c r="I6" s="2" t="str">
        <f t="shared" si="2"/>
        <v>QC</v>
      </c>
      <c r="J6" s="2" t="s">
        <v>166</v>
      </c>
      <c r="K6" s="2" t="str">
        <f>""</f>
        <v/>
      </c>
      <c r="L6" s="2" t="str">
        <f>""</f>
        <v/>
      </c>
      <c r="M6" s="2" t="s">
        <v>176</v>
      </c>
    </row>
    <row r="7" spans="1:14" x14ac:dyDescent="0.25">
      <c r="A7" s="2" t="str">
        <f>"Meriem"</f>
        <v>Meriem</v>
      </c>
      <c r="B7" s="2" t="str">
        <f>"Dahmani"</f>
        <v>Dahmani</v>
      </c>
      <c r="C7" s="2" t="str">
        <f t="shared" si="0"/>
        <v>F</v>
      </c>
      <c r="D7" s="2" t="str">
        <f t="shared" si="1"/>
        <v>U12</v>
      </c>
      <c r="E7" s="2">
        <v>2008</v>
      </c>
      <c r="F7" s="2" t="str">
        <f>"Judo Phénix - Collège Charlemagne"</f>
        <v>Judo Phénix - Collège Charlemagne</v>
      </c>
      <c r="G7" s="2" t="str">
        <f>"-39kg"</f>
        <v>-39kg</v>
      </c>
      <c r="H7" s="2" t="str">
        <f>"0231598"</f>
        <v>0231598</v>
      </c>
      <c r="I7" s="2" t="str">
        <f t="shared" si="2"/>
        <v>QC</v>
      </c>
      <c r="J7" s="2" t="s">
        <v>171</v>
      </c>
      <c r="K7" s="2" t="str">
        <f>""</f>
        <v/>
      </c>
      <c r="L7" s="2" t="str">
        <f>""</f>
        <v/>
      </c>
      <c r="M7" s="2" t="s">
        <v>176</v>
      </c>
    </row>
    <row r="8" spans="1:14" x14ac:dyDescent="0.25">
      <c r="A8" s="2" t="str">
        <f>"Gaelle"</f>
        <v>Gaelle</v>
      </c>
      <c r="B8" s="2" t="str">
        <f>"Damien"</f>
        <v>Damien</v>
      </c>
      <c r="C8" s="2" t="str">
        <f t="shared" si="0"/>
        <v>F</v>
      </c>
      <c r="D8" s="2" t="str">
        <f t="shared" si="1"/>
        <v>U12</v>
      </c>
      <c r="E8" s="2">
        <v>2009</v>
      </c>
      <c r="F8" s="2" t="str">
        <f>"Judo Blainville"</f>
        <v>Judo Blainville</v>
      </c>
      <c r="G8" s="2" t="str">
        <f>"-36kg"</f>
        <v>-36kg</v>
      </c>
      <c r="H8" s="2" t="str">
        <f>"0230862"</f>
        <v>0230862</v>
      </c>
      <c r="I8" s="2" t="str">
        <f t="shared" si="2"/>
        <v>QC</v>
      </c>
      <c r="J8" s="2" t="s">
        <v>166</v>
      </c>
      <c r="K8" s="2" t="str">
        <f>""</f>
        <v/>
      </c>
      <c r="L8" s="2" t="str">
        <f>""</f>
        <v/>
      </c>
      <c r="M8" s="2" t="s">
        <v>176</v>
      </c>
    </row>
    <row r="9" spans="1:14" x14ac:dyDescent="0.25">
      <c r="A9" s="2" t="str">
        <f>"Missy Jen"</f>
        <v>Missy Jen</v>
      </c>
      <c r="B9" s="2" t="str">
        <f>"Dorval-Mbele"</f>
        <v>Dorval-Mbele</v>
      </c>
      <c r="C9" s="2" t="str">
        <f t="shared" si="0"/>
        <v>F</v>
      </c>
      <c r="D9" s="2" t="str">
        <f t="shared" si="1"/>
        <v>U12</v>
      </c>
      <c r="E9" s="2">
        <v>2008</v>
      </c>
      <c r="F9" s="2" t="str">
        <f>"Club de judo Torii"</f>
        <v>Club de judo Torii</v>
      </c>
      <c r="G9" s="2" t="str">
        <f>"-55kg"</f>
        <v>-55kg</v>
      </c>
      <c r="H9" s="2" t="str">
        <f>"0205935"</f>
        <v>0205935</v>
      </c>
      <c r="I9" s="2" t="str">
        <f t="shared" si="2"/>
        <v>QC</v>
      </c>
      <c r="J9" s="2" t="s">
        <v>171</v>
      </c>
      <c r="K9" s="2" t="str">
        <f>""</f>
        <v/>
      </c>
      <c r="L9" s="2" t="str">
        <f>""</f>
        <v/>
      </c>
      <c r="M9" s="2" t="s">
        <v>176</v>
      </c>
    </row>
    <row r="10" spans="1:14" x14ac:dyDescent="0.25">
      <c r="A10" s="2" t="str">
        <f>"Noemie"</f>
        <v>Noemie</v>
      </c>
      <c r="B10" s="2" t="str">
        <f>"Garand"</f>
        <v>Garand</v>
      </c>
      <c r="C10" s="2" t="str">
        <f t="shared" si="0"/>
        <v>F</v>
      </c>
      <c r="D10" s="2" t="str">
        <f t="shared" si="1"/>
        <v>U12</v>
      </c>
      <c r="E10" s="2">
        <v>2008</v>
      </c>
      <c r="F10" s="2" t="str">
        <f>"Dojo Zenshin"</f>
        <v>Dojo Zenshin</v>
      </c>
      <c r="G10" s="2" t="str">
        <f>"-36kg"</f>
        <v>-36kg</v>
      </c>
      <c r="H10" s="2" t="str">
        <f>"0197490"</f>
        <v>0197490</v>
      </c>
      <c r="I10" s="2" t="str">
        <f t="shared" si="2"/>
        <v>QC</v>
      </c>
      <c r="J10" s="2" t="s">
        <v>172</v>
      </c>
      <c r="K10" s="2" t="str">
        <f>""</f>
        <v/>
      </c>
      <c r="L10" s="2" t="str">
        <f>""</f>
        <v/>
      </c>
      <c r="M10" s="2" t="s">
        <v>176</v>
      </c>
    </row>
    <row r="11" spans="1:14" x14ac:dyDescent="0.25">
      <c r="A11" s="2" t="str">
        <f>"Elianna"</f>
        <v>Elianna</v>
      </c>
      <c r="B11" s="2" t="str">
        <f>"Gilbert"</f>
        <v>Gilbert</v>
      </c>
      <c r="C11" s="2" t="str">
        <f t="shared" si="0"/>
        <v>F</v>
      </c>
      <c r="D11" s="2" t="str">
        <f t="shared" si="1"/>
        <v>U12</v>
      </c>
      <c r="E11" s="2">
        <v>2008</v>
      </c>
      <c r="F11" s="2" t="str">
        <f>"Club de judo To Haku kan inc."</f>
        <v>Club de judo To Haku kan inc.</v>
      </c>
      <c r="G11" s="2" t="str">
        <f>"-33kg"</f>
        <v>-33kg</v>
      </c>
      <c r="H11" s="2" t="str">
        <f>"0233960"</f>
        <v>0233960</v>
      </c>
      <c r="I11" s="2" t="str">
        <f t="shared" si="2"/>
        <v>QC</v>
      </c>
      <c r="J11" s="2" t="s">
        <v>171</v>
      </c>
      <c r="K11" s="2" t="str">
        <f>""</f>
        <v/>
      </c>
      <c r="L11" s="2" t="str">
        <f>""</f>
        <v/>
      </c>
      <c r="M11" s="2" t="s">
        <v>176</v>
      </c>
    </row>
    <row r="12" spans="1:14" x14ac:dyDescent="0.25">
      <c r="A12" s="2" t="str">
        <f>"Aryanna"</f>
        <v>Aryanna</v>
      </c>
      <c r="B12" s="2" t="str">
        <f>"Godin"</f>
        <v>Godin</v>
      </c>
      <c r="C12" s="2" t="str">
        <f t="shared" si="0"/>
        <v>F</v>
      </c>
      <c r="D12" s="2" t="str">
        <f t="shared" si="1"/>
        <v>U12</v>
      </c>
      <c r="E12" s="2">
        <v>2008</v>
      </c>
      <c r="F12" s="2" t="str">
        <f>"Club de Judo du Lycée Claudel Judo Club"</f>
        <v>Club de Judo du Lycée Claudel Judo Club</v>
      </c>
      <c r="G12" s="2" t="str">
        <f>"-42kg"</f>
        <v>-42kg</v>
      </c>
      <c r="H12" s="2" t="str">
        <f>"0229555"</f>
        <v>0229555</v>
      </c>
      <c r="I12" s="2" t="str">
        <f>"ON"</f>
        <v>ON</v>
      </c>
      <c r="J12" s="2" t="s">
        <v>171</v>
      </c>
      <c r="K12" s="2" t="str">
        <f>""</f>
        <v/>
      </c>
      <c r="L12" s="2" t="str">
        <f>""</f>
        <v/>
      </c>
      <c r="M12" s="2" t="s">
        <v>176</v>
      </c>
    </row>
    <row r="13" spans="1:14" x14ac:dyDescent="0.25">
      <c r="A13" s="2" t="str">
        <f>"Melody"</f>
        <v>Melody</v>
      </c>
      <c r="B13" s="2" t="str">
        <f>"Grenier"</f>
        <v>Grenier</v>
      </c>
      <c r="C13" s="2" t="str">
        <f t="shared" si="0"/>
        <v>F</v>
      </c>
      <c r="D13" s="2" t="str">
        <f t="shared" si="1"/>
        <v>U12</v>
      </c>
      <c r="E13" s="2">
        <v>2008</v>
      </c>
      <c r="F13" s="2" t="str">
        <f>"Club de Judo d'Asbestos-Danville"</f>
        <v>Club de Judo d'Asbestos-Danville</v>
      </c>
      <c r="G13" s="2" t="str">
        <f>"-30kg"</f>
        <v>-30kg</v>
      </c>
      <c r="H13" s="2" t="str">
        <f>"0189102"</f>
        <v>0189102</v>
      </c>
      <c r="I13" s="2" t="str">
        <f t="shared" ref="I13:I20" si="3">"QC"</f>
        <v>QC</v>
      </c>
      <c r="J13" s="2" t="s">
        <v>172</v>
      </c>
      <c r="K13" s="2" t="str">
        <f>""</f>
        <v/>
      </c>
      <c r="L13" s="2" t="str">
        <f>""</f>
        <v/>
      </c>
      <c r="M13" s="2" t="s">
        <v>176</v>
      </c>
    </row>
    <row r="14" spans="1:14" x14ac:dyDescent="0.25">
      <c r="A14" s="2" t="str">
        <f>"Maika"</f>
        <v>Maika</v>
      </c>
      <c r="B14" s="2" t="str">
        <f>"Langlois"</f>
        <v>Langlois</v>
      </c>
      <c r="C14" s="2" t="str">
        <f t="shared" si="0"/>
        <v>F</v>
      </c>
      <c r="D14" s="2" t="str">
        <f t="shared" si="1"/>
        <v>U12</v>
      </c>
      <c r="E14" s="2">
        <v>2009</v>
      </c>
      <c r="F14" s="2" t="str">
        <f>"Club de judo Métropolitain inc."</f>
        <v>Club de judo Métropolitain inc.</v>
      </c>
      <c r="G14" s="2" t="str">
        <f>"-33kg"</f>
        <v>-33kg</v>
      </c>
      <c r="H14" s="2" t="str">
        <f>"0233396"</f>
        <v>0233396</v>
      </c>
      <c r="I14" s="2" t="str">
        <f t="shared" si="3"/>
        <v>QC</v>
      </c>
      <c r="J14" s="2" t="s">
        <v>171</v>
      </c>
      <c r="K14" s="2" t="str">
        <f>""</f>
        <v/>
      </c>
      <c r="L14" s="2" t="str">
        <f>""</f>
        <v/>
      </c>
      <c r="M14" s="2" t="s">
        <v>176</v>
      </c>
    </row>
    <row r="15" spans="1:14" x14ac:dyDescent="0.25">
      <c r="A15" s="2" t="str">
        <f>"Anais"</f>
        <v>Anais</v>
      </c>
      <c r="B15" s="2" t="str">
        <f>"Lefebvre"</f>
        <v>Lefebvre</v>
      </c>
      <c r="C15" s="2" t="str">
        <f t="shared" si="0"/>
        <v>F</v>
      </c>
      <c r="D15" s="2" t="str">
        <f t="shared" si="1"/>
        <v>U12</v>
      </c>
      <c r="E15" s="2">
        <v>2009</v>
      </c>
      <c r="F15" s="2" t="str">
        <f>"Club de Judo d'Asbestos-Danville"</f>
        <v>Club de Judo d'Asbestos-Danville</v>
      </c>
      <c r="G15" s="2" t="str">
        <f>"-33kg"</f>
        <v>-33kg</v>
      </c>
      <c r="H15" s="2" t="str">
        <f>"0214421"</f>
        <v>0214421</v>
      </c>
      <c r="I15" s="2" t="str">
        <f t="shared" si="3"/>
        <v>QC</v>
      </c>
      <c r="J15" s="2" t="s">
        <v>171</v>
      </c>
      <c r="K15" s="2" t="str">
        <f>""</f>
        <v/>
      </c>
      <c r="L15" s="2" t="str">
        <f>""</f>
        <v/>
      </c>
      <c r="M15" s="2" t="s">
        <v>176</v>
      </c>
    </row>
    <row r="16" spans="1:14" x14ac:dyDescent="0.25">
      <c r="A16" s="2" t="str">
        <f>"Kaylee"</f>
        <v>Kaylee</v>
      </c>
      <c r="B16" s="2" t="str">
        <f>"Lewis"</f>
        <v>Lewis</v>
      </c>
      <c r="C16" s="2" t="str">
        <f t="shared" si="0"/>
        <v>F</v>
      </c>
      <c r="D16" s="2" t="str">
        <f t="shared" si="1"/>
        <v>U12</v>
      </c>
      <c r="E16" s="2">
        <v>2008</v>
      </c>
      <c r="F16" s="2" t="str">
        <f>"Dojo Perrot Shima"</f>
        <v>Dojo Perrot Shima</v>
      </c>
      <c r="G16" s="2" t="str">
        <f>"-42kg"</f>
        <v>-42kg</v>
      </c>
      <c r="H16" s="2" t="str">
        <f>"0232842"</f>
        <v>0232842</v>
      </c>
      <c r="I16" s="2" t="str">
        <f t="shared" si="3"/>
        <v>QC</v>
      </c>
      <c r="J16" s="2" t="s">
        <v>172</v>
      </c>
      <c r="K16" s="2" t="str">
        <f>""</f>
        <v/>
      </c>
      <c r="L16" s="2" t="str">
        <f>""</f>
        <v/>
      </c>
      <c r="M16" s="2" t="s">
        <v>176</v>
      </c>
    </row>
    <row r="17" spans="1:13" x14ac:dyDescent="0.25">
      <c r="A17" s="2" t="str">
        <f>"Sylia"</f>
        <v>Sylia</v>
      </c>
      <c r="B17" s="2" t="str">
        <f>"Maloum"</f>
        <v>Maloum</v>
      </c>
      <c r="C17" s="2" t="str">
        <f t="shared" si="0"/>
        <v>F</v>
      </c>
      <c r="D17" s="2" t="str">
        <f t="shared" si="1"/>
        <v>U12</v>
      </c>
      <c r="E17" s="2">
        <v>2008</v>
      </c>
      <c r="F17" s="2" t="str">
        <f>"Club de judo Métropolitain inc."</f>
        <v>Club de judo Métropolitain inc.</v>
      </c>
      <c r="G17" s="2" t="str">
        <f>"-30kg"</f>
        <v>-30kg</v>
      </c>
      <c r="H17" s="2" t="str">
        <f>"0192678"</f>
        <v>0192678</v>
      </c>
      <c r="I17" s="2" t="str">
        <f t="shared" si="3"/>
        <v>QC</v>
      </c>
      <c r="J17" s="2" t="s">
        <v>172</v>
      </c>
      <c r="K17" s="2" t="str">
        <f>""</f>
        <v/>
      </c>
      <c r="L17" s="2" t="str">
        <f>""</f>
        <v/>
      </c>
      <c r="M17" s="2" t="s">
        <v>176</v>
      </c>
    </row>
    <row r="18" spans="1:13" x14ac:dyDescent="0.25">
      <c r="A18" s="2" t="str">
        <f>"Charley"</f>
        <v>Charley</v>
      </c>
      <c r="B18" s="2" t="str">
        <f>"McComber"</f>
        <v>McComber</v>
      </c>
      <c r="C18" s="2" t="str">
        <f t="shared" si="0"/>
        <v>F</v>
      </c>
      <c r="D18" s="2" t="str">
        <f t="shared" si="1"/>
        <v>U12</v>
      </c>
      <c r="E18" s="2">
        <v>2009</v>
      </c>
      <c r="F18" s="2" t="str">
        <f>"Tritton Judo"</f>
        <v>Tritton Judo</v>
      </c>
      <c r="G18" s="2" t="str">
        <f>"-25kg"</f>
        <v>-25kg</v>
      </c>
      <c r="H18" s="2" t="str">
        <f>"0241101"</f>
        <v>0241101</v>
      </c>
      <c r="I18" s="2" t="str">
        <f t="shared" si="3"/>
        <v>QC</v>
      </c>
      <c r="J18" s="2" t="s">
        <v>166</v>
      </c>
      <c r="K18" s="2" t="str">
        <f>""</f>
        <v/>
      </c>
      <c r="L18" s="2" t="str">
        <f>""</f>
        <v/>
      </c>
      <c r="M18" s="2" t="s">
        <v>176</v>
      </c>
    </row>
    <row r="19" spans="1:13" x14ac:dyDescent="0.25">
      <c r="A19" s="2" t="str">
        <f>"Leah"</f>
        <v>Leah</v>
      </c>
      <c r="B19" s="2" t="str">
        <f>"Michaud"</f>
        <v>Michaud</v>
      </c>
      <c r="C19" s="2" t="str">
        <f t="shared" si="0"/>
        <v>F</v>
      </c>
      <c r="D19" s="2" t="str">
        <f t="shared" si="1"/>
        <v>U12</v>
      </c>
      <c r="E19" s="2">
        <v>2008</v>
      </c>
      <c r="F19" s="2" t="str">
        <f>"Judo Beauce"</f>
        <v>Judo Beauce</v>
      </c>
      <c r="G19" s="2" t="str">
        <f>"-42kg"</f>
        <v>-42kg</v>
      </c>
      <c r="H19" s="2" t="str">
        <f>"0218654"</f>
        <v>0218654</v>
      </c>
      <c r="I19" s="2" t="str">
        <f t="shared" si="3"/>
        <v>QC</v>
      </c>
      <c r="J19" s="2" t="s">
        <v>174</v>
      </c>
      <c r="K19" s="2" t="str">
        <f>""</f>
        <v/>
      </c>
      <c r="L19" s="2" t="str">
        <f>""</f>
        <v/>
      </c>
      <c r="M19" s="2" t="s">
        <v>176</v>
      </c>
    </row>
    <row r="20" spans="1:13" x14ac:dyDescent="0.25">
      <c r="A20" s="2" t="str">
        <f>"Annabel"</f>
        <v>Annabel</v>
      </c>
      <c r="B20" s="2" t="str">
        <f>"Minier"</f>
        <v>Minier</v>
      </c>
      <c r="C20" s="2" t="str">
        <f t="shared" si="0"/>
        <v>F</v>
      </c>
      <c r="D20" s="2" t="str">
        <f t="shared" si="1"/>
        <v>U12</v>
      </c>
      <c r="E20" s="2">
        <v>2009</v>
      </c>
      <c r="F20" s="2" t="str">
        <f>"Club de judo Torii"</f>
        <v>Club de judo Torii</v>
      </c>
      <c r="G20" s="2" t="str">
        <f>"-30kg"</f>
        <v>-30kg</v>
      </c>
      <c r="H20" s="2" t="str">
        <f>"0224410"</f>
        <v>0224410</v>
      </c>
      <c r="I20" s="2" t="str">
        <f t="shared" si="3"/>
        <v>QC</v>
      </c>
      <c r="J20" s="2" t="s">
        <v>165</v>
      </c>
      <c r="K20" s="2" t="str">
        <f>""</f>
        <v/>
      </c>
      <c r="L20" s="2" t="str">
        <f>""</f>
        <v/>
      </c>
      <c r="M20" s="2" t="s">
        <v>176</v>
      </c>
    </row>
    <row r="21" spans="1:13" x14ac:dyDescent="0.25">
      <c r="A21" s="2" t="str">
        <f>"Hana"</f>
        <v>Hana</v>
      </c>
      <c r="B21" s="2" t="str">
        <f>"Mylvaganam"</f>
        <v>Mylvaganam</v>
      </c>
      <c r="C21" s="2" t="str">
        <f t="shared" si="0"/>
        <v>F</v>
      </c>
      <c r="D21" s="2" t="str">
        <f t="shared" si="1"/>
        <v>U12</v>
      </c>
      <c r="E21" s="2">
        <v>2008</v>
      </c>
      <c r="F21" s="2" t="str">
        <f>"Club de Judo du Lycée Claudel Judo Club"</f>
        <v>Club de Judo du Lycée Claudel Judo Club</v>
      </c>
      <c r="G21" s="2" t="str">
        <f>"-30kg"</f>
        <v>-30kg</v>
      </c>
      <c r="H21" s="2" t="str">
        <f>"0219066"</f>
        <v>0219066</v>
      </c>
      <c r="I21" s="2" t="str">
        <f>"ON"</f>
        <v>ON</v>
      </c>
      <c r="J21" s="2" t="s">
        <v>171</v>
      </c>
      <c r="K21" s="2" t="str">
        <f>""</f>
        <v/>
      </c>
      <c r="L21" s="2" t="str">
        <f>""</f>
        <v/>
      </c>
      <c r="M21" s="2" t="s">
        <v>176</v>
      </c>
    </row>
    <row r="22" spans="1:13" x14ac:dyDescent="0.25">
      <c r="A22" s="2" t="str">
        <f>"Sabrina"</f>
        <v>Sabrina</v>
      </c>
      <c r="B22" s="2" t="str">
        <f>"M'zir"</f>
        <v>M'zir</v>
      </c>
      <c r="C22" s="2" t="str">
        <f t="shared" si="0"/>
        <v>F</v>
      </c>
      <c r="D22" s="2" t="str">
        <f t="shared" si="1"/>
        <v>U12</v>
      </c>
      <c r="E22" s="2">
        <v>2009</v>
      </c>
      <c r="F22" s="2" t="str">
        <f>"Club de judo Torii"</f>
        <v>Club de judo Torii</v>
      </c>
      <c r="G22" s="2" t="str">
        <f>"-25kg"</f>
        <v>-25kg</v>
      </c>
      <c r="H22" s="2" t="str">
        <f>"0218506"</f>
        <v>0218506</v>
      </c>
      <c r="I22" s="2" t="str">
        <f>"QC"</f>
        <v>QC</v>
      </c>
      <c r="J22" s="2" t="s">
        <v>165</v>
      </c>
      <c r="K22" s="2" t="str">
        <f>""</f>
        <v/>
      </c>
      <c r="L22" s="2" t="str">
        <f>""</f>
        <v/>
      </c>
      <c r="M22" s="2" t="s">
        <v>176</v>
      </c>
    </row>
    <row r="23" spans="1:13" x14ac:dyDescent="0.25">
      <c r="A23" s="2" t="str">
        <f>"Jaida"</f>
        <v>Jaida</v>
      </c>
      <c r="B23" s="2" t="str">
        <f>"Norton"</f>
        <v>Norton</v>
      </c>
      <c r="C23" s="2" t="str">
        <f t="shared" si="0"/>
        <v>F</v>
      </c>
      <c r="D23" s="2" t="str">
        <f t="shared" si="1"/>
        <v>U12</v>
      </c>
      <c r="E23" s="2">
        <v>2008</v>
      </c>
      <c r="F23" s="2" t="str">
        <f>"Tritton Judo"</f>
        <v>Tritton Judo</v>
      </c>
      <c r="G23" s="2" t="str">
        <f>"-49kg"</f>
        <v>-49kg</v>
      </c>
      <c r="H23" s="2" t="str">
        <f>"0220064"</f>
        <v>0220064</v>
      </c>
      <c r="I23" s="2" t="str">
        <f>"QC"</f>
        <v>QC</v>
      </c>
      <c r="J23" s="2" t="s">
        <v>171</v>
      </c>
      <c r="K23" s="2" t="str">
        <f>""</f>
        <v/>
      </c>
      <c r="L23" s="2" t="str">
        <f>""</f>
        <v/>
      </c>
      <c r="M23" s="2" t="s">
        <v>176</v>
      </c>
    </row>
    <row r="24" spans="1:13" x14ac:dyDescent="0.25">
      <c r="A24" s="2" t="s">
        <v>127</v>
      </c>
      <c r="B24" s="2" t="s">
        <v>128</v>
      </c>
      <c r="C24" s="2" t="s">
        <v>52</v>
      </c>
      <c r="D24" s="2" t="str">
        <f t="shared" si="1"/>
        <v>U12</v>
      </c>
      <c r="E24" s="2">
        <v>2008</v>
      </c>
      <c r="F24" s="2" t="s">
        <v>150</v>
      </c>
      <c r="G24" s="2" t="str">
        <f>"-33kg"</f>
        <v>-33kg</v>
      </c>
      <c r="H24" s="2">
        <v>235144</v>
      </c>
      <c r="I24" s="2" t="s">
        <v>17</v>
      </c>
      <c r="J24" s="2" t="s">
        <v>166</v>
      </c>
      <c r="K24" s="2" t="s">
        <v>10</v>
      </c>
      <c r="L24" s="2" t="s">
        <v>10</v>
      </c>
      <c r="M24" s="2" t="s">
        <v>176</v>
      </c>
    </row>
    <row r="25" spans="1:13" x14ac:dyDescent="0.25">
      <c r="A25" s="2" t="str">
        <f>"Dakota"</f>
        <v>Dakota</v>
      </c>
      <c r="B25" s="2" t="str">
        <f>"Proulx Olson"</f>
        <v>Proulx Olson</v>
      </c>
      <c r="C25" s="2" t="str">
        <f t="shared" ref="C25:C31" si="4">"F"</f>
        <v>F</v>
      </c>
      <c r="D25" s="2" t="str">
        <f t="shared" si="1"/>
        <v>U12</v>
      </c>
      <c r="E25" s="2">
        <v>2008</v>
      </c>
      <c r="F25" s="2" t="str">
        <f>"Dojo Perrot Shima"</f>
        <v>Dojo Perrot Shima</v>
      </c>
      <c r="G25" s="2" t="str">
        <f>"-49kg"</f>
        <v>-49kg</v>
      </c>
      <c r="H25" s="2" t="str">
        <f>"0193679"</f>
        <v>0193679</v>
      </c>
      <c r="I25" s="2" t="str">
        <f>"QC"</f>
        <v>QC</v>
      </c>
      <c r="J25" s="2" t="s">
        <v>174</v>
      </c>
      <c r="K25" s="2" t="str">
        <f>""</f>
        <v/>
      </c>
      <c r="L25" s="2" t="str">
        <f>""</f>
        <v/>
      </c>
      <c r="M25" s="2" t="s">
        <v>176</v>
      </c>
    </row>
    <row r="26" spans="1:13" x14ac:dyDescent="0.25">
      <c r="A26" s="3" t="s">
        <v>109</v>
      </c>
      <c r="B26" s="3" t="s">
        <v>110</v>
      </c>
      <c r="C26" s="2" t="str">
        <f t="shared" si="4"/>
        <v>F</v>
      </c>
      <c r="D26" s="2" t="str">
        <f t="shared" si="1"/>
        <v>U12</v>
      </c>
      <c r="E26" s="2">
        <v>2008</v>
      </c>
      <c r="F26" s="2" t="str">
        <f>"Judo Blainville"</f>
        <v>Judo Blainville</v>
      </c>
      <c r="G26" s="2" t="str">
        <f>"-45kg"</f>
        <v>-45kg</v>
      </c>
      <c r="H26" s="2" t="str">
        <f>"AutreFederation"</f>
        <v>AutreFederation</v>
      </c>
      <c r="I26" s="2" t="str">
        <f>"QC"</f>
        <v>QC</v>
      </c>
      <c r="J26" s="2" t="s">
        <v>174</v>
      </c>
      <c r="K26" s="2" t="str">
        <f>""</f>
        <v/>
      </c>
      <c r="L26" s="2" t="str">
        <f>""</f>
        <v/>
      </c>
      <c r="M26" s="2" t="s">
        <v>176</v>
      </c>
    </row>
    <row r="27" spans="1:13" x14ac:dyDescent="0.25">
      <c r="A27" s="2" t="str">
        <f>"Mia"</f>
        <v>Mia</v>
      </c>
      <c r="B27" s="2" t="str">
        <f>"Saumure"</f>
        <v>Saumure</v>
      </c>
      <c r="C27" s="2" t="str">
        <f t="shared" si="4"/>
        <v>F</v>
      </c>
      <c r="D27" s="2" t="str">
        <f t="shared" si="1"/>
        <v>U12</v>
      </c>
      <c r="E27" s="2">
        <v>2009</v>
      </c>
      <c r="F27" s="2" t="str">
        <f>"Club de Judo Boucherville inc."</f>
        <v>Club de Judo Boucherville inc.</v>
      </c>
      <c r="G27" s="2" t="str">
        <f>"-48kg"</f>
        <v>-48kg</v>
      </c>
      <c r="H27" s="2" t="str">
        <f>"0214958"</f>
        <v>0214958</v>
      </c>
      <c r="I27" s="2" t="str">
        <f>"QC"</f>
        <v>QC</v>
      </c>
      <c r="J27" s="2" t="s">
        <v>171</v>
      </c>
      <c r="K27" s="2" t="str">
        <f>""</f>
        <v/>
      </c>
      <c r="L27" s="2" t="str">
        <f>""</f>
        <v/>
      </c>
      <c r="M27" s="2" t="s">
        <v>176</v>
      </c>
    </row>
    <row r="28" spans="1:13" x14ac:dyDescent="0.25">
      <c r="A28" s="2" t="str">
        <f>"Katya-Anh"</f>
        <v>Katya-Anh</v>
      </c>
      <c r="B28" s="2" t="str">
        <f>"Seiller"</f>
        <v>Seiller</v>
      </c>
      <c r="C28" s="2" t="str">
        <f t="shared" si="4"/>
        <v>F</v>
      </c>
      <c r="D28" s="2" t="str">
        <f t="shared" si="1"/>
        <v>U12</v>
      </c>
      <c r="E28" s="2">
        <v>2008</v>
      </c>
      <c r="F28" s="2" t="str">
        <f>"Kiseki Judo"</f>
        <v>Kiseki Judo</v>
      </c>
      <c r="G28" s="2" t="str">
        <f>"-30kg"</f>
        <v>-30kg</v>
      </c>
      <c r="H28" s="2" t="str">
        <f>"0225691"</f>
        <v>0225691</v>
      </c>
      <c r="I28" s="2" t="str">
        <f>"QC"</f>
        <v>QC</v>
      </c>
      <c r="J28" s="2" t="s">
        <v>171</v>
      </c>
      <c r="K28" s="2" t="str">
        <f>""</f>
        <v/>
      </c>
      <c r="L28" s="2" t="str">
        <f>""</f>
        <v/>
      </c>
      <c r="M28" s="2" t="s">
        <v>176</v>
      </c>
    </row>
    <row r="29" spans="1:13" x14ac:dyDescent="0.25">
      <c r="A29" s="2" t="str">
        <f>"Mayva"</f>
        <v>Mayva</v>
      </c>
      <c r="B29" s="2" t="str">
        <f>"Shank"</f>
        <v>Shank</v>
      </c>
      <c r="C29" s="2" t="str">
        <f t="shared" si="4"/>
        <v>F</v>
      </c>
      <c r="D29" s="2" t="str">
        <f t="shared" si="1"/>
        <v>U12</v>
      </c>
      <c r="E29" s="2">
        <v>2009</v>
      </c>
      <c r="F29" s="2" t="str">
        <f>"Judo Cookshire"</f>
        <v>Judo Cookshire</v>
      </c>
      <c r="G29" s="2" t="str">
        <f>"-39kg"</f>
        <v>-39kg</v>
      </c>
      <c r="H29" s="2" t="str">
        <f>"0211767"</f>
        <v>0211767</v>
      </c>
      <c r="I29" s="2" t="str">
        <f>"QC"</f>
        <v>QC</v>
      </c>
      <c r="J29" s="2" t="s">
        <v>171</v>
      </c>
      <c r="K29" s="2" t="str">
        <f>""</f>
        <v/>
      </c>
      <c r="L29" s="2" t="str">
        <f>""</f>
        <v/>
      </c>
      <c r="M29" s="2" t="s">
        <v>176</v>
      </c>
    </row>
    <row r="30" spans="1:13" x14ac:dyDescent="0.25">
      <c r="A30" s="2" t="str">
        <f>"Maiya"</f>
        <v>Maiya</v>
      </c>
      <c r="B30" s="2" t="str">
        <f>"Tan"</f>
        <v>Tan</v>
      </c>
      <c r="C30" s="2" t="str">
        <f t="shared" si="4"/>
        <v>F</v>
      </c>
      <c r="D30" s="2" t="str">
        <f t="shared" si="1"/>
        <v>U12</v>
      </c>
      <c r="E30" s="2">
        <v>2008</v>
      </c>
      <c r="F30" s="2" t="str">
        <f>"Takahashi Dojo"</f>
        <v>Takahashi Dojo</v>
      </c>
      <c r="G30" s="2" t="str">
        <f>"-42kg"</f>
        <v>-42kg</v>
      </c>
      <c r="H30" s="2" t="str">
        <f>"AutreFederation"</f>
        <v>AutreFederation</v>
      </c>
      <c r="I30" s="2" t="str">
        <f>"ON"</f>
        <v>ON</v>
      </c>
      <c r="J30" s="2" t="s">
        <v>171</v>
      </c>
      <c r="K30" s="2" t="str">
        <f>""</f>
        <v/>
      </c>
      <c r="L30" s="2" t="str">
        <f>""</f>
        <v/>
      </c>
      <c r="M30" s="2" t="s">
        <v>176</v>
      </c>
    </row>
    <row r="31" spans="1:13" x14ac:dyDescent="0.25">
      <c r="A31" s="2" t="str">
        <f>"Sarina"</f>
        <v>Sarina</v>
      </c>
      <c r="B31" s="2" t="str">
        <f>"Yorston"</f>
        <v>Yorston</v>
      </c>
      <c r="C31" s="2" t="str">
        <f t="shared" si="4"/>
        <v>F</v>
      </c>
      <c r="D31" s="2" t="str">
        <f t="shared" si="1"/>
        <v>U12</v>
      </c>
      <c r="E31" s="2">
        <v>2009</v>
      </c>
      <c r="F31" s="2" t="str">
        <f>"Club de Judo du Lycée Claudel Judo Club"</f>
        <v>Club de Judo du Lycée Claudel Judo Club</v>
      </c>
      <c r="G31" s="2" t="str">
        <f>"-27kg"</f>
        <v>-27kg</v>
      </c>
      <c r="H31" s="2" t="str">
        <f>"0238460"</f>
        <v>0238460</v>
      </c>
      <c r="I31" s="2" t="str">
        <f>"ON"</f>
        <v>ON</v>
      </c>
      <c r="J31" s="2" t="s">
        <v>171</v>
      </c>
      <c r="K31" s="2" t="str">
        <f>""</f>
        <v/>
      </c>
      <c r="L31" s="2" t="str">
        <f>""</f>
        <v/>
      </c>
      <c r="M31" s="2" t="s">
        <v>176</v>
      </c>
    </row>
    <row r="32" spans="1:13" x14ac:dyDescent="0.25">
      <c r="A32" s="2" t="str">
        <f>"Adel"</f>
        <v>Adel</v>
      </c>
      <c r="B32" s="2" t="str">
        <f>"Abane"</f>
        <v>Abane</v>
      </c>
      <c r="C32" s="2" t="str">
        <f t="shared" ref="C32:C37" si="5">"M"</f>
        <v>M</v>
      </c>
      <c r="D32" s="2" t="str">
        <f t="shared" si="1"/>
        <v>U12</v>
      </c>
      <c r="E32" s="2">
        <v>2008</v>
      </c>
      <c r="F32" s="2" t="str">
        <f>"Club de judo Torii"</f>
        <v>Club de judo Torii</v>
      </c>
      <c r="G32" s="2" t="str">
        <f>"-30kg"</f>
        <v>-30kg</v>
      </c>
      <c r="H32" s="2" t="str">
        <f>"AutreFederation"</f>
        <v>AutreFederation</v>
      </c>
      <c r="I32" s="2" t="str">
        <f>"QC"</f>
        <v>QC</v>
      </c>
      <c r="J32" s="2" t="s">
        <v>166</v>
      </c>
      <c r="K32" s="2" t="str">
        <f>""</f>
        <v/>
      </c>
      <c r="L32" s="2" t="str">
        <f>""</f>
        <v/>
      </c>
      <c r="M32" s="2" t="s">
        <v>177</v>
      </c>
    </row>
    <row r="33" spans="1:13" x14ac:dyDescent="0.25">
      <c r="A33" s="2" t="str">
        <f>"Imad"</f>
        <v>Imad</v>
      </c>
      <c r="B33" s="2" t="str">
        <f>"Ahamdi"</f>
        <v>Ahamdi</v>
      </c>
      <c r="C33" s="2" t="str">
        <f t="shared" si="5"/>
        <v>M</v>
      </c>
      <c r="D33" s="2" t="str">
        <f t="shared" si="1"/>
        <v>U12</v>
      </c>
      <c r="E33" s="2">
        <v>2008</v>
      </c>
      <c r="F33" s="2" t="str">
        <f>"Club de judo Métropolitain inc."</f>
        <v>Club de judo Métropolitain inc.</v>
      </c>
      <c r="G33" s="2" t="str">
        <f>"+55kg"</f>
        <v>+55kg</v>
      </c>
      <c r="H33" s="2" t="str">
        <f>"0409721"</f>
        <v>0409721</v>
      </c>
      <c r="I33" s="2" t="str">
        <f>"QC"</f>
        <v>QC</v>
      </c>
      <c r="J33" s="2" t="s">
        <v>165</v>
      </c>
      <c r="K33" s="2" t="str">
        <f>""</f>
        <v/>
      </c>
      <c r="L33" s="2" t="str">
        <f>""</f>
        <v/>
      </c>
      <c r="M33" s="2" t="s">
        <v>177</v>
      </c>
    </row>
    <row r="34" spans="1:13" x14ac:dyDescent="0.25">
      <c r="A34" s="2" t="str">
        <f>"Noe"</f>
        <v>Noe</v>
      </c>
      <c r="B34" s="2" t="str">
        <f>"Alain"</f>
        <v>Alain</v>
      </c>
      <c r="C34" s="2" t="str">
        <f t="shared" si="5"/>
        <v>M</v>
      </c>
      <c r="D34" s="2" t="str">
        <f t="shared" ref="D34:D65" si="6">"U12"</f>
        <v>U12</v>
      </c>
      <c r="E34" s="2">
        <v>2008</v>
      </c>
      <c r="F34" s="2" t="str">
        <f>"Hontaï Dojo"</f>
        <v>Hontaï Dojo</v>
      </c>
      <c r="G34" s="2" t="str">
        <f>"-36kg"</f>
        <v>-36kg</v>
      </c>
      <c r="H34" s="2" t="str">
        <f>"0225857"</f>
        <v>0225857</v>
      </c>
      <c r="I34" s="2" t="str">
        <f>"QC"</f>
        <v>QC</v>
      </c>
      <c r="J34" s="2" t="s">
        <v>171</v>
      </c>
      <c r="K34" s="2" t="str">
        <f>""</f>
        <v/>
      </c>
      <c r="L34" s="2" t="str">
        <f>""</f>
        <v/>
      </c>
      <c r="M34" s="2" t="s">
        <v>177</v>
      </c>
    </row>
    <row r="35" spans="1:13" x14ac:dyDescent="0.25">
      <c r="A35" s="2" t="str">
        <f>"Ziad"</f>
        <v>Ziad</v>
      </c>
      <c r="B35" s="2" t="str">
        <f>"Alameddine"</f>
        <v>Alameddine</v>
      </c>
      <c r="C35" s="2" t="str">
        <f t="shared" si="5"/>
        <v>M</v>
      </c>
      <c r="D35" s="2" t="str">
        <f t="shared" si="6"/>
        <v>U12</v>
      </c>
      <c r="E35" s="2">
        <v>2008</v>
      </c>
      <c r="F35" s="2" t="str">
        <f>"Club de judo Torakai"</f>
        <v>Club de judo Torakai</v>
      </c>
      <c r="G35" s="2" t="str">
        <f>"-42kg"</f>
        <v>-42kg</v>
      </c>
      <c r="H35" s="2" t="str">
        <f>"0230056"</f>
        <v>0230056</v>
      </c>
      <c r="I35" s="2" t="str">
        <f>"QC"</f>
        <v>QC</v>
      </c>
      <c r="J35" s="2" t="s">
        <v>171</v>
      </c>
      <c r="K35" s="2" t="str">
        <f>""</f>
        <v/>
      </c>
      <c r="L35" s="2" t="str">
        <f>""</f>
        <v/>
      </c>
      <c r="M35" s="2" t="s">
        <v>177</v>
      </c>
    </row>
    <row r="36" spans="1:13" x14ac:dyDescent="0.25">
      <c r="A36" s="2" t="str">
        <f>"Jacob"</f>
        <v>Jacob</v>
      </c>
      <c r="B36" s="2" t="str">
        <f>"Arabov"</f>
        <v>Arabov</v>
      </c>
      <c r="C36" s="2" t="str">
        <f t="shared" si="5"/>
        <v>M</v>
      </c>
      <c r="D36" s="2" t="str">
        <f t="shared" si="6"/>
        <v>U12</v>
      </c>
      <c r="E36" s="2">
        <v>2008</v>
      </c>
      <c r="F36" s="2" t="str">
        <f>"Toronto Judo Kai"</f>
        <v>Toronto Judo Kai</v>
      </c>
      <c r="G36" s="2" t="str">
        <f>"-39kg"</f>
        <v>-39kg</v>
      </c>
      <c r="H36" s="2" t="str">
        <f>"0206794"</f>
        <v>0206794</v>
      </c>
      <c r="I36" s="2" t="str">
        <f>"ON"</f>
        <v>ON</v>
      </c>
      <c r="J36" s="2" t="s">
        <v>171</v>
      </c>
      <c r="K36" s="2" t="str">
        <f>""</f>
        <v/>
      </c>
      <c r="L36" s="2" t="str">
        <f>""</f>
        <v/>
      </c>
      <c r="M36" s="2" t="s">
        <v>177</v>
      </c>
    </row>
    <row r="37" spans="1:13" x14ac:dyDescent="0.25">
      <c r="A37" s="2" t="str">
        <f>"Benoit"</f>
        <v>Benoit</v>
      </c>
      <c r="B37" s="2" t="str">
        <f>"Archambault"</f>
        <v>Archambault</v>
      </c>
      <c r="C37" s="2" t="str">
        <f t="shared" si="5"/>
        <v>M</v>
      </c>
      <c r="D37" s="2" t="str">
        <f t="shared" si="6"/>
        <v>U12</v>
      </c>
      <c r="E37" s="2">
        <v>2008</v>
      </c>
      <c r="F37" s="2" t="str">
        <f>"Académie de judo de Saint-Sauveur"</f>
        <v>Académie de judo de Saint-Sauveur</v>
      </c>
      <c r="G37" s="2" t="str">
        <f>"-36kg"</f>
        <v>-36kg</v>
      </c>
      <c r="H37" s="2" t="str">
        <f>"0410575"</f>
        <v>0410575</v>
      </c>
      <c r="I37" s="2" t="str">
        <f t="shared" ref="I37:I49" si="7">"QC"</f>
        <v>QC</v>
      </c>
      <c r="J37" s="2" t="s">
        <v>171</v>
      </c>
      <c r="K37" s="2" t="str">
        <f>""</f>
        <v/>
      </c>
      <c r="L37" s="2" t="str">
        <f>""</f>
        <v/>
      </c>
      <c r="M37" s="2" t="s">
        <v>177</v>
      </c>
    </row>
    <row r="38" spans="1:13" x14ac:dyDescent="0.25">
      <c r="A38" s="2" t="str">
        <f>"David"</f>
        <v>David</v>
      </c>
      <c r="B38" s="2" t="str">
        <f>"Babin"</f>
        <v>Babin</v>
      </c>
      <c r="C38" s="2" t="s">
        <v>13</v>
      </c>
      <c r="D38" s="2" t="str">
        <f t="shared" si="6"/>
        <v>U12</v>
      </c>
      <c r="E38" s="2">
        <v>2008</v>
      </c>
      <c r="F38" s="2" t="str">
        <f>"Club de judo Métropolitain inc."</f>
        <v>Club de judo Métropolitain inc.</v>
      </c>
      <c r="G38" s="2" t="str">
        <f>"-30kg"</f>
        <v>-30kg</v>
      </c>
      <c r="H38" s="2" t="str">
        <f>"0239549"</f>
        <v>0239549</v>
      </c>
      <c r="I38" s="2" t="str">
        <f t="shared" si="7"/>
        <v>QC</v>
      </c>
      <c r="J38" s="2" t="s">
        <v>166</v>
      </c>
      <c r="K38" s="2" t="str">
        <f>""</f>
        <v/>
      </c>
      <c r="L38" s="2" t="str">
        <f>""</f>
        <v/>
      </c>
      <c r="M38" s="2" t="s">
        <v>177</v>
      </c>
    </row>
    <row r="39" spans="1:13" x14ac:dyDescent="0.25">
      <c r="A39" s="2" t="str">
        <f>"Elyas"</f>
        <v>Elyas</v>
      </c>
      <c r="B39" s="2" t="str">
        <f>"Bakour"</f>
        <v>Bakour</v>
      </c>
      <c r="C39" s="2" t="str">
        <f t="shared" ref="C39:C56" si="8">"M"</f>
        <v>M</v>
      </c>
      <c r="D39" s="2" t="str">
        <f t="shared" si="6"/>
        <v>U12</v>
      </c>
      <c r="E39" s="2">
        <v>2009</v>
      </c>
      <c r="F39" s="2" t="str">
        <f>"Club de judo Métropolitain inc."</f>
        <v>Club de judo Métropolitain inc.</v>
      </c>
      <c r="G39" s="2" t="str">
        <f>"-42kg"</f>
        <v>-42kg</v>
      </c>
      <c r="H39" s="2" t="str">
        <f>"0214746"</f>
        <v>0214746</v>
      </c>
      <c r="I39" s="2" t="str">
        <f t="shared" si="7"/>
        <v>QC</v>
      </c>
      <c r="J39" s="2" t="s">
        <v>171</v>
      </c>
      <c r="K39" s="2" t="str">
        <f>""</f>
        <v/>
      </c>
      <c r="L39" s="2" t="str">
        <f>""</f>
        <v/>
      </c>
      <c r="M39" s="2" t="s">
        <v>177</v>
      </c>
    </row>
    <row r="40" spans="1:13" x14ac:dyDescent="0.25">
      <c r="A40" s="2" t="str">
        <f>"Matis"</f>
        <v>Matis</v>
      </c>
      <c r="B40" s="2" t="str">
        <f>"Baribeau"</f>
        <v>Baribeau</v>
      </c>
      <c r="C40" s="2" t="str">
        <f t="shared" si="8"/>
        <v>M</v>
      </c>
      <c r="D40" s="2" t="str">
        <f t="shared" si="6"/>
        <v>U12</v>
      </c>
      <c r="E40" s="2">
        <v>2009</v>
      </c>
      <c r="F40" s="2" t="str">
        <f>"Judo Blainville"</f>
        <v>Judo Blainville</v>
      </c>
      <c r="G40" s="2" t="str">
        <f>"-30kg"</f>
        <v>-30kg</v>
      </c>
      <c r="H40" s="2" t="str">
        <f>"0206637"</f>
        <v>0206637</v>
      </c>
      <c r="I40" s="2" t="str">
        <f t="shared" si="7"/>
        <v>QC</v>
      </c>
      <c r="J40" s="2" t="s">
        <v>172</v>
      </c>
      <c r="K40" s="2" t="str">
        <f>""</f>
        <v/>
      </c>
      <c r="L40" s="2" t="str">
        <f>""</f>
        <v/>
      </c>
      <c r="M40" s="2" t="s">
        <v>177</v>
      </c>
    </row>
    <row r="41" spans="1:13" x14ac:dyDescent="0.25">
      <c r="A41" s="2" t="str">
        <f>"Joseph"</f>
        <v>Joseph</v>
      </c>
      <c r="B41" s="2" t="str">
        <f>"Beauregard"</f>
        <v>Beauregard</v>
      </c>
      <c r="C41" s="2" t="str">
        <f t="shared" si="8"/>
        <v>M</v>
      </c>
      <c r="D41" s="2" t="str">
        <f t="shared" si="6"/>
        <v>U12</v>
      </c>
      <c r="E41" s="2">
        <v>2009</v>
      </c>
      <c r="F41" s="2" t="str">
        <f>"Kiseki Judo"</f>
        <v>Kiseki Judo</v>
      </c>
      <c r="G41" s="2" t="str">
        <f>"-25kg"</f>
        <v>-25kg</v>
      </c>
      <c r="H41" s="2" t="str">
        <f>"0225696"</f>
        <v>0225696</v>
      </c>
      <c r="I41" s="2" t="str">
        <f t="shared" si="7"/>
        <v>QC</v>
      </c>
      <c r="J41" s="2" t="s">
        <v>171</v>
      </c>
      <c r="K41" s="2" t="str">
        <f>""</f>
        <v/>
      </c>
      <c r="L41" s="2" t="str">
        <f>""</f>
        <v/>
      </c>
      <c r="M41" s="2" t="s">
        <v>177</v>
      </c>
    </row>
    <row r="42" spans="1:13" x14ac:dyDescent="0.25">
      <c r="A42" s="2" t="str">
        <f>"Noah"</f>
        <v>Noah</v>
      </c>
      <c r="B42" s="2" t="str">
        <f>"Beauregard"</f>
        <v>Beauregard</v>
      </c>
      <c r="C42" s="2" t="str">
        <f t="shared" si="8"/>
        <v>M</v>
      </c>
      <c r="D42" s="2" t="str">
        <f t="shared" si="6"/>
        <v>U12</v>
      </c>
      <c r="E42" s="2">
        <v>2008</v>
      </c>
      <c r="F42" s="2" t="str">
        <f>"Club de judo Vallée du Richelieu"</f>
        <v>Club de judo Vallée du Richelieu</v>
      </c>
      <c r="G42" s="2" t="str">
        <f>"-33kg"</f>
        <v>-33kg</v>
      </c>
      <c r="H42" s="2" t="str">
        <f>"0214494"</f>
        <v>0214494</v>
      </c>
      <c r="I42" s="2" t="str">
        <f t="shared" si="7"/>
        <v>QC</v>
      </c>
      <c r="J42" s="2" t="s">
        <v>171</v>
      </c>
      <c r="K42" s="2" t="str">
        <f>""</f>
        <v/>
      </c>
      <c r="L42" s="2" t="str">
        <f>""</f>
        <v/>
      </c>
      <c r="M42" s="2" t="s">
        <v>177</v>
      </c>
    </row>
    <row r="43" spans="1:13" x14ac:dyDescent="0.25">
      <c r="A43" s="2" t="str">
        <f>"Aydan"</f>
        <v>Aydan</v>
      </c>
      <c r="B43" s="2" t="str">
        <f>"Berger"</f>
        <v>Berger</v>
      </c>
      <c r="C43" s="2" t="str">
        <f t="shared" si="8"/>
        <v>M</v>
      </c>
      <c r="D43" s="2" t="str">
        <f t="shared" si="6"/>
        <v>U12</v>
      </c>
      <c r="E43" s="2">
        <v>2009</v>
      </c>
      <c r="F43" s="2" t="str">
        <f>"Club de Judo et de Ju-Jitsu Juvaldo inc."</f>
        <v>Club de Judo et de Ju-Jitsu Juvaldo inc.</v>
      </c>
      <c r="G43" s="2" t="str">
        <f>"-30kg"</f>
        <v>-30kg</v>
      </c>
      <c r="H43" s="2" t="str">
        <f>"0234822"</f>
        <v>0234822</v>
      </c>
      <c r="I43" s="2" t="str">
        <f t="shared" si="7"/>
        <v>QC</v>
      </c>
      <c r="J43" s="2" t="s">
        <v>171</v>
      </c>
      <c r="K43" s="2" t="str">
        <f>""</f>
        <v/>
      </c>
      <c r="L43" s="2" t="str">
        <f>""</f>
        <v/>
      </c>
      <c r="M43" s="2" t="s">
        <v>177</v>
      </c>
    </row>
    <row r="44" spans="1:13" x14ac:dyDescent="0.25">
      <c r="A44" s="2" t="str">
        <f>"Gabriel"</f>
        <v>Gabriel</v>
      </c>
      <c r="B44" s="2" t="str">
        <f>"Berube"</f>
        <v>Berube</v>
      </c>
      <c r="C44" s="2" t="str">
        <f t="shared" si="8"/>
        <v>M</v>
      </c>
      <c r="D44" s="2" t="str">
        <f t="shared" si="6"/>
        <v>U12</v>
      </c>
      <c r="E44" s="2">
        <v>2009</v>
      </c>
      <c r="F44" s="2" t="str">
        <f>"Judo Blainville"</f>
        <v>Judo Blainville</v>
      </c>
      <c r="G44" s="2" t="str">
        <f>"-45kg"</f>
        <v>-45kg</v>
      </c>
      <c r="H44" s="2" t="str">
        <f>"0200268"</f>
        <v>0200268</v>
      </c>
      <c r="I44" s="2" t="str">
        <f t="shared" si="7"/>
        <v>QC</v>
      </c>
      <c r="J44" s="2" t="s">
        <v>172</v>
      </c>
      <c r="K44" s="2" t="str">
        <f>""</f>
        <v/>
      </c>
      <c r="L44" s="2" t="str">
        <f>""</f>
        <v/>
      </c>
      <c r="M44" s="2" t="s">
        <v>177</v>
      </c>
    </row>
    <row r="45" spans="1:13" x14ac:dyDescent="0.25">
      <c r="A45" s="2" t="str">
        <f>"Guillaume"</f>
        <v>Guillaume</v>
      </c>
      <c r="B45" s="2" t="str">
        <f>"Blais-Morin"</f>
        <v>Blais-Morin</v>
      </c>
      <c r="C45" s="2" t="str">
        <f t="shared" si="8"/>
        <v>M</v>
      </c>
      <c r="D45" s="2" t="str">
        <f t="shared" si="6"/>
        <v>U12</v>
      </c>
      <c r="E45" s="2">
        <v>2008</v>
      </c>
      <c r="F45" s="2" t="str">
        <f>"Club de judo Shidokan inc."</f>
        <v>Club de judo Shidokan inc.</v>
      </c>
      <c r="G45" s="2" t="str">
        <f>"-36kg"</f>
        <v>-36kg</v>
      </c>
      <c r="H45" s="2" t="str">
        <f>"0211688"</f>
        <v>0211688</v>
      </c>
      <c r="I45" s="2" t="str">
        <f t="shared" si="7"/>
        <v>QC</v>
      </c>
      <c r="J45" s="2" t="s">
        <v>172</v>
      </c>
      <c r="K45" s="2" t="str">
        <f>""</f>
        <v/>
      </c>
      <c r="L45" s="2" t="str">
        <f>""</f>
        <v/>
      </c>
      <c r="M45" s="2" t="s">
        <v>177</v>
      </c>
    </row>
    <row r="46" spans="1:13" x14ac:dyDescent="0.25">
      <c r="A46" s="2" t="str">
        <f>"Jeremy"</f>
        <v>Jeremy</v>
      </c>
      <c r="B46" s="2" t="str">
        <f>"Blouin"</f>
        <v>Blouin</v>
      </c>
      <c r="C46" s="2" t="str">
        <f t="shared" si="8"/>
        <v>M</v>
      </c>
      <c r="D46" s="2" t="str">
        <f t="shared" si="6"/>
        <v>U12</v>
      </c>
      <c r="E46" s="2">
        <v>2009</v>
      </c>
      <c r="F46" s="2" t="str">
        <f>"Club de judo Vallée du Richelieu"</f>
        <v>Club de judo Vallée du Richelieu</v>
      </c>
      <c r="G46" s="2" t="str">
        <f>"-30kg"</f>
        <v>-30kg</v>
      </c>
      <c r="H46" s="2" t="str">
        <f>"0206574"</f>
        <v>0206574</v>
      </c>
      <c r="I46" s="2" t="str">
        <f t="shared" si="7"/>
        <v>QC</v>
      </c>
      <c r="J46" s="2" t="s">
        <v>171</v>
      </c>
      <c r="K46" s="2" t="str">
        <f>""</f>
        <v/>
      </c>
      <c r="L46" s="2" t="str">
        <f>""</f>
        <v/>
      </c>
      <c r="M46" s="2" t="s">
        <v>177</v>
      </c>
    </row>
    <row r="47" spans="1:13" x14ac:dyDescent="0.25">
      <c r="A47" s="2" t="str">
        <f>"Walid"</f>
        <v>Walid</v>
      </c>
      <c r="B47" s="2" t="str">
        <f>"Borsla"</f>
        <v>Borsla</v>
      </c>
      <c r="C47" s="2" t="str">
        <f t="shared" si="8"/>
        <v>M</v>
      </c>
      <c r="D47" s="2" t="str">
        <f t="shared" si="6"/>
        <v>U12</v>
      </c>
      <c r="E47" s="2">
        <v>2008</v>
      </c>
      <c r="F47" s="2" t="str">
        <f>"Club de judo Torii"</f>
        <v>Club de judo Torii</v>
      </c>
      <c r="G47" s="2" t="str">
        <f>"-33kg"</f>
        <v>-33kg</v>
      </c>
      <c r="H47" s="2" t="str">
        <f>"0236229"</f>
        <v>0236229</v>
      </c>
      <c r="I47" s="2" t="str">
        <f t="shared" si="7"/>
        <v>QC</v>
      </c>
      <c r="J47" s="2" t="s">
        <v>165</v>
      </c>
      <c r="K47" s="2" t="str">
        <f>""</f>
        <v/>
      </c>
      <c r="L47" s="2" t="str">
        <f>""</f>
        <v/>
      </c>
      <c r="M47" s="2" t="s">
        <v>177</v>
      </c>
    </row>
    <row r="48" spans="1:13" x14ac:dyDescent="0.25">
      <c r="A48" s="2" t="str">
        <f>"Sami"</f>
        <v>Sami</v>
      </c>
      <c r="B48" s="2" t="str">
        <f>"Bourihane"</f>
        <v>Bourihane</v>
      </c>
      <c r="C48" s="2" t="str">
        <f t="shared" si="8"/>
        <v>M</v>
      </c>
      <c r="D48" s="2" t="str">
        <f t="shared" si="6"/>
        <v>U12</v>
      </c>
      <c r="E48" s="2">
        <v>2008</v>
      </c>
      <c r="F48" s="2" t="str">
        <f>"Club judo St-Leonard"</f>
        <v>Club judo St-Leonard</v>
      </c>
      <c r="G48" s="2" t="str">
        <f>"-36kg"</f>
        <v>-36kg</v>
      </c>
      <c r="H48" s="2" t="str">
        <f>"0207726"</f>
        <v>0207726</v>
      </c>
      <c r="I48" s="2" t="str">
        <f t="shared" si="7"/>
        <v>QC</v>
      </c>
      <c r="J48" s="2" t="s">
        <v>166</v>
      </c>
      <c r="K48" s="2" t="str">
        <f>""</f>
        <v/>
      </c>
      <c r="L48" s="2" t="str">
        <f>""</f>
        <v/>
      </c>
      <c r="M48" s="2" t="s">
        <v>177</v>
      </c>
    </row>
    <row r="49" spans="1:13" x14ac:dyDescent="0.25">
      <c r="A49" s="2" t="str">
        <f>"Tristan"</f>
        <v>Tristan</v>
      </c>
      <c r="B49" s="2" t="str">
        <f>"Bourque"</f>
        <v>Bourque</v>
      </c>
      <c r="C49" s="2" t="str">
        <f t="shared" si="8"/>
        <v>M</v>
      </c>
      <c r="D49" s="2" t="str">
        <f t="shared" si="6"/>
        <v>U12</v>
      </c>
      <c r="E49" s="2">
        <v>2008</v>
      </c>
      <c r="F49" s="2" t="str">
        <f>"Club de Judo Boucherville inc."</f>
        <v>Club de Judo Boucherville inc.</v>
      </c>
      <c r="G49" s="2" t="str">
        <f>"-36kg"</f>
        <v>-36kg</v>
      </c>
      <c r="H49" s="2" t="str">
        <f>"0216860"</f>
        <v>0216860</v>
      </c>
      <c r="I49" s="2" t="str">
        <f t="shared" si="7"/>
        <v>QC</v>
      </c>
      <c r="J49" s="2" t="s">
        <v>171</v>
      </c>
      <c r="K49" s="2" t="str">
        <f>""</f>
        <v/>
      </c>
      <c r="L49" s="2" t="str">
        <f>""</f>
        <v/>
      </c>
      <c r="M49" s="2" t="s">
        <v>177</v>
      </c>
    </row>
    <row r="50" spans="1:13" x14ac:dyDescent="0.25">
      <c r="A50" s="2" t="str">
        <f>"Julian"</f>
        <v>Julian</v>
      </c>
      <c r="B50" s="2" t="str">
        <f>"Boyer"</f>
        <v>Boyer</v>
      </c>
      <c r="C50" s="2" t="str">
        <f t="shared" si="8"/>
        <v>M</v>
      </c>
      <c r="D50" s="2" t="str">
        <f t="shared" si="6"/>
        <v>U12</v>
      </c>
      <c r="E50" s="2">
        <v>2008</v>
      </c>
      <c r="F50" s="2" t="str">
        <f>"Club de Judo du Lycée Claudel Judo Club"</f>
        <v>Club de Judo du Lycée Claudel Judo Club</v>
      </c>
      <c r="G50" s="2" t="str">
        <f>"-49kg"</f>
        <v>-49kg</v>
      </c>
      <c r="H50" s="2" t="str">
        <f>"0222900"</f>
        <v>0222900</v>
      </c>
      <c r="I50" s="2" t="str">
        <f>"ON"</f>
        <v>ON</v>
      </c>
      <c r="J50" s="2" t="s">
        <v>165</v>
      </c>
      <c r="K50" s="2" t="str">
        <f>""</f>
        <v/>
      </c>
      <c r="L50" s="2" t="str">
        <f>""</f>
        <v/>
      </c>
      <c r="M50" s="2" t="s">
        <v>177</v>
      </c>
    </row>
    <row r="51" spans="1:13" x14ac:dyDescent="0.25">
      <c r="A51" s="2" t="str">
        <f>"Noah"</f>
        <v>Noah</v>
      </c>
      <c r="B51" s="2" t="str">
        <f>"Bursey"</f>
        <v>Bursey</v>
      </c>
      <c r="C51" s="2" t="str">
        <f t="shared" si="8"/>
        <v>M</v>
      </c>
      <c r="D51" s="2" t="str">
        <f t="shared" si="6"/>
        <v>U12</v>
      </c>
      <c r="E51" s="2">
        <v>2008</v>
      </c>
      <c r="F51" s="2" t="str">
        <f>"Munster Judo Club"</f>
        <v>Munster Judo Club</v>
      </c>
      <c r="G51" s="2" t="str">
        <f>"-30kg"</f>
        <v>-30kg</v>
      </c>
      <c r="H51" s="2" t="str">
        <f>"0238455"</f>
        <v>0238455</v>
      </c>
      <c r="I51" s="2" t="str">
        <f>"ON"</f>
        <v>ON</v>
      </c>
      <c r="J51" s="2" t="s">
        <v>166</v>
      </c>
      <c r="K51" s="2" t="str">
        <f>""</f>
        <v/>
      </c>
      <c r="L51" s="2" t="str">
        <f>""</f>
        <v/>
      </c>
      <c r="M51" s="2" t="s">
        <v>177</v>
      </c>
    </row>
    <row r="52" spans="1:13" x14ac:dyDescent="0.25">
      <c r="A52" s="2" t="str">
        <f>"Hugo"</f>
        <v>Hugo</v>
      </c>
      <c r="B52" s="2" t="str">
        <f>"Cenerario"</f>
        <v>Cenerario</v>
      </c>
      <c r="C52" s="2" t="str">
        <f t="shared" si="8"/>
        <v>M</v>
      </c>
      <c r="D52" s="2" t="str">
        <f t="shared" si="6"/>
        <v>U12</v>
      </c>
      <c r="E52" s="2">
        <v>2009</v>
      </c>
      <c r="F52" s="2" t="str">
        <f>"Club de judo Stanislas"</f>
        <v>Club de judo Stanislas</v>
      </c>
      <c r="G52" s="2" t="str">
        <f>"-36kg"</f>
        <v>-36kg</v>
      </c>
      <c r="H52" s="2" t="str">
        <f>"0410915"</f>
        <v>0410915</v>
      </c>
      <c r="I52" s="2" t="str">
        <f>"QC"</f>
        <v>QC</v>
      </c>
      <c r="J52" s="2" t="s">
        <v>171</v>
      </c>
      <c r="K52" s="2" t="str">
        <f>""</f>
        <v/>
      </c>
      <c r="L52" s="2" t="str">
        <f>""</f>
        <v/>
      </c>
      <c r="M52" s="2" t="s">
        <v>177</v>
      </c>
    </row>
    <row r="53" spans="1:13" x14ac:dyDescent="0.25">
      <c r="A53" s="2" t="str">
        <f>"Edouard"</f>
        <v>Edouard</v>
      </c>
      <c r="B53" s="2" t="str">
        <f>"Chasse"</f>
        <v>Chasse</v>
      </c>
      <c r="C53" s="2" t="str">
        <f t="shared" si="8"/>
        <v>M</v>
      </c>
      <c r="D53" s="2" t="str">
        <f t="shared" si="6"/>
        <v>U12</v>
      </c>
      <c r="E53" s="2">
        <v>2009</v>
      </c>
      <c r="F53" s="2" t="str">
        <f>"Club de judo Torakai"</f>
        <v>Club de judo Torakai</v>
      </c>
      <c r="G53" s="2" t="str">
        <f>"-33kg"</f>
        <v>-33kg</v>
      </c>
      <c r="H53" s="2" t="str">
        <f>"0224630"</f>
        <v>0224630</v>
      </c>
      <c r="I53" s="2" t="str">
        <f>"QC"</f>
        <v>QC</v>
      </c>
      <c r="J53" s="2" t="s">
        <v>165</v>
      </c>
      <c r="K53" s="2" t="str">
        <f>""</f>
        <v/>
      </c>
      <c r="L53" s="2" t="str">
        <f>""</f>
        <v/>
      </c>
      <c r="M53" s="2" t="s">
        <v>177</v>
      </c>
    </row>
    <row r="54" spans="1:13" x14ac:dyDescent="0.25">
      <c r="A54" s="2" t="str">
        <f>"Youssef"</f>
        <v>Youssef</v>
      </c>
      <c r="B54" s="2" t="str">
        <f>"Chetara"</f>
        <v>Chetara</v>
      </c>
      <c r="C54" s="2" t="str">
        <f t="shared" si="8"/>
        <v>M</v>
      </c>
      <c r="D54" s="2" t="str">
        <f t="shared" si="6"/>
        <v>U12</v>
      </c>
      <c r="E54" s="2">
        <v>2008</v>
      </c>
      <c r="F54" s="2" t="str">
        <f>"Club de judo St-Paul l'Ermite"</f>
        <v>Club de judo St-Paul l'Ermite</v>
      </c>
      <c r="G54" s="2" t="str">
        <f>"-36kg"</f>
        <v>-36kg</v>
      </c>
      <c r="H54" s="2" t="str">
        <f>"0207628"</f>
        <v>0207628</v>
      </c>
      <c r="I54" s="2" t="str">
        <f>"QC"</f>
        <v>QC</v>
      </c>
      <c r="J54" s="2" t="s">
        <v>172</v>
      </c>
      <c r="K54" s="2" t="str">
        <f>""</f>
        <v/>
      </c>
      <c r="L54" s="2" t="str">
        <f>""</f>
        <v/>
      </c>
      <c r="M54" s="2" t="s">
        <v>177</v>
      </c>
    </row>
    <row r="55" spans="1:13" x14ac:dyDescent="0.25">
      <c r="A55" s="2" t="str">
        <f>"Samy"</f>
        <v>Samy</v>
      </c>
      <c r="B55" s="2" t="str">
        <f>"Clouette"</f>
        <v>Clouette</v>
      </c>
      <c r="C55" s="2" t="str">
        <f t="shared" si="8"/>
        <v>M</v>
      </c>
      <c r="D55" s="2" t="str">
        <f t="shared" si="6"/>
        <v>U12</v>
      </c>
      <c r="E55" s="2">
        <v>2008</v>
      </c>
      <c r="F55" s="2" t="str">
        <f>"Club de judo St-Paul l'Ermite"</f>
        <v>Club de judo St-Paul l'Ermite</v>
      </c>
      <c r="G55" s="2" t="str">
        <f>"-36kg"</f>
        <v>-36kg</v>
      </c>
      <c r="H55" s="2" t="str">
        <f>"0409264"</f>
        <v>0409264</v>
      </c>
      <c r="I55" s="2" t="str">
        <f>"QC"</f>
        <v>QC</v>
      </c>
      <c r="J55" s="2" t="s">
        <v>165</v>
      </c>
      <c r="K55" s="2" t="str">
        <f>""</f>
        <v/>
      </c>
      <c r="L55" s="2" t="str">
        <f>""</f>
        <v/>
      </c>
      <c r="M55" s="2" t="s">
        <v>177</v>
      </c>
    </row>
    <row r="56" spans="1:13" x14ac:dyDescent="0.25">
      <c r="A56" s="2" t="str">
        <f>"Justin"</f>
        <v>Justin</v>
      </c>
      <c r="B56" s="2" t="str">
        <f>"Cragnolini"</f>
        <v>Cragnolini</v>
      </c>
      <c r="C56" s="2" t="str">
        <f t="shared" si="8"/>
        <v>M</v>
      </c>
      <c r="D56" s="2" t="str">
        <f t="shared" si="6"/>
        <v>U12</v>
      </c>
      <c r="E56" s="2">
        <v>2009</v>
      </c>
      <c r="F56" s="2" t="str">
        <f>"Club de judo Multikyo"</f>
        <v>Club de judo Multikyo</v>
      </c>
      <c r="G56" s="2" t="str">
        <f>"-39kg"</f>
        <v>-39kg</v>
      </c>
      <c r="H56" s="2" t="str">
        <f>"0221374"</f>
        <v>0221374</v>
      </c>
      <c r="I56" s="2" t="str">
        <f>"QC"</f>
        <v>QC</v>
      </c>
      <c r="J56" s="2" t="s">
        <v>165</v>
      </c>
      <c r="K56" s="2" t="str">
        <f>""</f>
        <v/>
      </c>
      <c r="L56" s="2" t="str">
        <f>""</f>
        <v/>
      </c>
      <c r="M56" s="2" t="s">
        <v>177</v>
      </c>
    </row>
    <row r="57" spans="1:13" x14ac:dyDescent="0.25">
      <c r="A57" s="2" t="s">
        <v>116</v>
      </c>
      <c r="B57" s="2" t="s">
        <v>117</v>
      </c>
      <c r="C57" s="2" t="s">
        <v>13</v>
      </c>
      <c r="D57" s="2" t="str">
        <f t="shared" si="6"/>
        <v>U12</v>
      </c>
      <c r="E57" s="2">
        <v>2009</v>
      </c>
      <c r="F57" s="2" t="s">
        <v>150</v>
      </c>
      <c r="G57" s="2" t="str">
        <f>"-36kg"</f>
        <v>-36kg</v>
      </c>
      <c r="H57" s="2">
        <v>214940</v>
      </c>
      <c r="I57" s="2" t="s">
        <v>17</v>
      </c>
      <c r="J57" s="2" t="s">
        <v>165</v>
      </c>
      <c r="K57" s="2" t="s">
        <v>10</v>
      </c>
      <c r="L57" s="2" t="s">
        <v>10</v>
      </c>
      <c r="M57" s="2" t="s">
        <v>177</v>
      </c>
    </row>
    <row r="58" spans="1:13" x14ac:dyDescent="0.25">
      <c r="A58" s="2" t="str">
        <f>"Maxime"</f>
        <v>Maxime</v>
      </c>
      <c r="B58" s="2" t="str">
        <f>"Danyliuk"</f>
        <v>Danyliuk</v>
      </c>
      <c r="C58" s="2" t="str">
        <f t="shared" ref="C58:C66" si="9">"M"</f>
        <v>M</v>
      </c>
      <c r="D58" s="2" t="str">
        <f t="shared" si="6"/>
        <v>U12</v>
      </c>
      <c r="E58" s="2">
        <v>2008</v>
      </c>
      <c r="F58" s="2" t="str">
        <f>"Bushidokan"</f>
        <v>Bushidokan</v>
      </c>
      <c r="G58" s="2" t="str">
        <f>"-25kg"</f>
        <v>-25kg</v>
      </c>
      <c r="H58" s="2" t="str">
        <f>"0210310"</f>
        <v>0210310</v>
      </c>
      <c r="I58" s="2" t="str">
        <f t="shared" ref="I58:I66" si="10">"QC"</f>
        <v>QC</v>
      </c>
      <c r="J58" s="2" t="s">
        <v>166</v>
      </c>
      <c r="K58" s="2" t="str">
        <f>""</f>
        <v/>
      </c>
      <c r="L58" s="2" t="str">
        <f>""</f>
        <v/>
      </c>
      <c r="M58" s="2" t="s">
        <v>177</v>
      </c>
    </row>
    <row r="59" spans="1:13" x14ac:dyDescent="0.25">
      <c r="A59" s="2" t="str">
        <f>"Isaac"</f>
        <v>Isaac</v>
      </c>
      <c r="B59" s="2" t="str">
        <f>"Desrochers"</f>
        <v>Desrochers</v>
      </c>
      <c r="C59" s="2" t="str">
        <f t="shared" si="9"/>
        <v>M</v>
      </c>
      <c r="D59" s="2" t="str">
        <f t="shared" si="6"/>
        <v>U12</v>
      </c>
      <c r="E59" s="2">
        <v>2009</v>
      </c>
      <c r="F59" s="2" t="str">
        <f>"Bushidokan"</f>
        <v>Bushidokan</v>
      </c>
      <c r="G59" s="2" t="str">
        <f>"-27kg"</f>
        <v>-27kg</v>
      </c>
      <c r="H59" s="2" t="str">
        <f>"0210308"</f>
        <v>0210308</v>
      </c>
      <c r="I59" s="2" t="str">
        <f t="shared" si="10"/>
        <v>QC</v>
      </c>
      <c r="J59" s="2" t="s">
        <v>165</v>
      </c>
      <c r="K59" s="2" t="str">
        <f>""</f>
        <v/>
      </c>
      <c r="L59" s="2" t="str">
        <f>""</f>
        <v/>
      </c>
      <c r="M59" s="2" t="s">
        <v>177</v>
      </c>
    </row>
    <row r="60" spans="1:13" x14ac:dyDescent="0.25">
      <c r="A60" s="2" t="str">
        <f>"Nicolas"</f>
        <v>Nicolas</v>
      </c>
      <c r="B60" s="2" t="str">
        <f>"Desrosiers"</f>
        <v>Desrosiers</v>
      </c>
      <c r="C60" s="2" t="str">
        <f t="shared" si="9"/>
        <v>M</v>
      </c>
      <c r="D60" s="2" t="str">
        <f t="shared" si="6"/>
        <v>U12</v>
      </c>
      <c r="E60" s="2">
        <v>2009</v>
      </c>
      <c r="F60" s="2" t="str">
        <f>"Judo Blainville"</f>
        <v>Judo Blainville</v>
      </c>
      <c r="G60" s="2" t="str">
        <f>"-33kg"</f>
        <v>-33kg</v>
      </c>
      <c r="H60" s="2" t="str">
        <f>"0215701"</f>
        <v>0215701</v>
      </c>
      <c r="I60" s="2" t="str">
        <f t="shared" si="10"/>
        <v>QC</v>
      </c>
      <c r="J60" s="2" t="s">
        <v>174</v>
      </c>
      <c r="K60" s="2" t="str">
        <f>""</f>
        <v/>
      </c>
      <c r="L60" s="2" t="str">
        <f>""</f>
        <v/>
      </c>
      <c r="M60" s="2" t="s">
        <v>177</v>
      </c>
    </row>
    <row r="61" spans="1:13" x14ac:dyDescent="0.25">
      <c r="A61" s="2" t="str">
        <f>"Tomo"</f>
        <v>Tomo</v>
      </c>
      <c r="B61" s="2" t="str">
        <f>"Di Cesare"</f>
        <v>Di Cesare</v>
      </c>
      <c r="C61" s="2" t="str">
        <f t="shared" si="9"/>
        <v>M</v>
      </c>
      <c r="D61" s="2" t="str">
        <f t="shared" si="6"/>
        <v>U12</v>
      </c>
      <c r="E61" s="2">
        <v>2008</v>
      </c>
      <c r="F61" s="2" t="str">
        <f>"Club de judo Shidokan inc."</f>
        <v>Club de judo Shidokan inc.</v>
      </c>
      <c r="G61" s="2" t="str">
        <f>"-49kg"</f>
        <v>-49kg</v>
      </c>
      <c r="H61" s="2" t="str">
        <f>"0198322"</f>
        <v>0198322</v>
      </c>
      <c r="I61" s="2" t="str">
        <f t="shared" si="10"/>
        <v>QC</v>
      </c>
      <c r="J61" s="2" t="s">
        <v>174</v>
      </c>
      <c r="K61" s="2" t="str">
        <f>""</f>
        <v/>
      </c>
      <c r="L61" s="2" t="str">
        <f>""</f>
        <v/>
      </c>
      <c r="M61" s="2" t="s">
        <v>177</v>
      </c>
    </row>
    <row r="62" spans="1:13" x14ac:dyDescent="0.25">
      <c r="A62" s="2" t="str">
        <f>"Joshua"</f>
        <v>Joshua</v>
      </c>
      <c r="B62" s="2" t="str">
        <f>"Dion"</f>
        <v>Dion</v>
      </c>
      <c r="C62" s="2" t="str">
        <f t="shared" si="9"/>
        <v>M</v>
      </c>
      <c r="D62" s="2" t="str">
        <f t="shared" si="6"/>
        <v>U12</v>
      </c>
      <c r="E62" s="2">
        <v>2009</v>
      </c>
      <c r="F62" s="2" t="str">
        <f>"Club de judo Torakai"</f>
        <v>Club de judo Torakai</v>
      </c>
      <c r="G62" s="2" t="str">
        <f>"-25kg"</f>
        <v>-25kg</v>
      </c>
      <c r="H62" s="2" t="str">
        <f>"0219257"</f>
        <v>0219257</v>
      </c>
      <c r="I62" s="2" t="str">
        <f t="shared" si="10"/>
        <v>QC</v>
      </c>
      <c r="J62" s="2" t="s">
        <v>171</v>
      </c>
      <c r="K62" s="2" t="str">
        <f>""</f>
        <v/>
      </c>
      <c r="L62" s="2" t="str">
        <f>""</f>
        <v/>
      </c>
      <c r="M62" s="2" t="s">
        <v>177</v>
      </c>
    </row>
    <row r="63" spans="1:13" x14ac:dyDescent="0.25">
      <c r="A63" s="2" t="str">
        <f>"Hocine"</f>
        <v>Hocine</v>
      </c>
      <c r="B63" s="2" t="str">
        <f>"Djaroud"</f>
        <v>Djaroud</v>
      </c>
      <c r="C63" s="2" t="str">
        <f t="shared" si="9"/>
        <v>M</v>
      </c>
      <c r="D63" s="2" t="str">
        <f t="shared" si="6"/>
        <v>U12</v>
      </c>
      <c r="E63" s="2">
        <v>2009</v>
      </c>
      <c r="F63" s="2" t="str">
        <f>"Club de judo Torii"</f>
        <v>Club de judo Torii</v>
      </c>
      <c r="G63" s="2" t="str">
        <f>"-30kg"</f>
        <v>-30kg</v>
      </c>
      <c r="H63" s="2" t="str">
        <f>"0205953"</f>
        <v>0205953</v>
      </c>
      <c r="I63" s="2" t="str">
        <f t="shared" si="10"/>
        <v>QC</v>
      </c>
      <c r="J63" s="2" t="s">
        <v>166</v>
      </c>
      <c r="K63" s="2" t="str">
        <f>""</f>
        <v/>
      </c>
      <c r="L63" s="2" t="str">
        <f>""</f>
        <v/>
      </c>
      <c r="M63" s="2" t="s">
        <v>177</v>
      </c>
    </row>
    <row r="64" spans="1:13" x14ac:dyDescent="0.25">
      <c r="A64" s="2" t="str">
        <f>"Ramy Mhand"</f>
        <v>Ramy Mhand</v>
      </c>
      <c r="B64" s="2" t="str">
        <f>"Djellout"</f>
        <v>Djellout</v>
      </c>
      <c r="C64" s="2" t="str">
        <f t="shared" si="9"/>
        <v>M</v>
      </c>
      <c r="D64" s="2" t="str">
        <f t="shared" si="6"/>
        <v>U12</v>
      </c>
      <c r="E64" s="2">
        <v>2009</v>
      </c>
      <c r="F64" s="2" t="str">
        <f>"Club de judo Torii"</f>
        <v>Club de judo Torii</v>
      </c>
      <c r="G64" s="2" t="str">
        <f>"-30kg"</f>
        <v>-30kg</v>
      </c>
      <c r="H64" s="2" t="str">
        <f>"0205941"</f>
        <v>0205941</v>
      </c>
      <c r="I64" s="2" t="str">
        <f t="shared" si="10"/>
        <v>QC</v>
      </c>
      <c r="J64" s="2" t="s">
        <v>166</v>
      </c>
      <c r="K64" s="2" t="str">
        <f>""</f>
        <v/>
      </c>
      <c r="L64" s="2" t="str">
        <f>""</f>
        <v/>
      </c>
      <c r="M64" s="2" t="s">
        <v>177</v>
      </c>
    </row>
    <row r="65" spans="1:13" x14ac:dyDescent="0.25">
      <c r="A65" s="2" t="str">
        <f>"Malick"</f>
        <v>Malick</v>
      </c>
      <c r="B65" s="2" t="str">
        <f>"Dryburgh"</f>
        <v>Dryburgh</v>
      </c>
      <c r="C65" s="2" t="str">
        <f t="shared" si="9"/>
        <v>M</v>
      </c>
      <c r="D65" s="2" t="str">
        <f t="shared" si="6"/>
        <v>U12</v>
      </c>
      <c r="E65" s="2">
        <v>2009</v>
      </c>
      <c r="F65" s="2" t="str">
        <f>"Club de judo Métropolitain inc."</f>
        <v>Club de judo Métropolitain inc.</v>
      </c>
      <c r="G65" s="2" t="str">
        <f>"-27kg"</f>
        <v>-27kg</v>
      </c>
      <c r="H65" s="2" t="str">
        <f>"0233390"</f>
        <v>0233390</v>
      </c>
      <c r="I65" s="2" t="str">
        <f t="shared" si="10"/>
        <v>QC</v>
      </c>
      <c r="J65" s="2" t="s">
        <v>165</v>
      </c>
      <c r="K65" s="2" t="str">
        <f>""</f>
        <v/>
      </c>
      <c r="L65" s="2" t="str">
        <f>""</f>
        <v/>
      </c>
      <c r="M65" s="2" t="s">
        <v>177</v>
      </c>
    </row>
    <row r="66" spans="1:13" x14ac:dyDescent="0.25">
      <c r="A66" s="2" t="str">
        <f>"Emerick"</f>
        <v>Emerick</v>
      </c>
      <c r="B66" s="2" t="str">
        <f>"Dufour"</f>
        <v>Dufour</v>
      </c>
      <c r="C66" s="2" t="str">
        <f t="shared" si="9"/>
        <v>M</v>
      </c>
      <c r="D66" s="2" t="str">
        <f t="shared" ref="D66:D97" si="11">"U12"</f>
        <v>U12</v>
      </c>
      <c r="E66" s="2">
        <v>2009</v>
      </c>
      <c r="F66" s="2" t="str">
        <f>"Kiseki Judo"</f>
        <v>Kiseki Judo</v>
      </c>
      <c r="G66" s="2" t="str">
        <f>"-27kg"</f>
        <v>-27kg</v>
      </c>
      <c r="H66" s="2" t="str">
        <f>"0213477"</f>
        <v>0213477</v>
      </c>
      <c r="I66" s="2" t="str">
        <f t="shared" si="10"/>
        <v>QC</v>
      </c>
      <c r="J66" s="2" t="s">
        <v>171</v>
      </c>
      <c r="K66" s="2" t="str">
        <f>""</f>
        <v/>
      </c>
      <c r="L66" s="2" t="str">
        <f>""</f>
        <v/>
      </c>
      <c r="M66" s="2" t="s">
        <v>177</v>
      </c>
    </row>
    <row r="67" spans="1:13" x14ac:dyDescent="0.25">
      <c r="A67" s="2" t="s">
        <v>114</v>
      </c>
      <c r="B67" s="2" t="s">
        <v>115</v>
      </c>
      <c r="C67" s="2" t="s">
        <v>13</v>
      </c>
      <c r="D67" s="2" t="str">
        <f t="shared" si="11"/>
        <v>U12</v>
      </c>
      <c r="E67" s="2">
        <v>2008</v>
      </c>
      <c r="F67" s="2" t="s">
        <v>150</v>
      </c>
      <c r="G67" s="2" t="str">
        <f>"-46kg"</f>
        <v>-46kg</v>
      </c>
      <c r="H67" s="2">
        <v>218333</v>
      </c>
      <c r="I67" s="2" t="s">
        <v>17</v>
      </c>
      <c r="J67" s="2" t="s">
        <v>171</v>
      </c>
      <c r="K67" s="2" t="s">
        <v>10</v>
      </c>
      <c r="L67" s="2" t="s">
        <v>10</v>
      </c>
      <c r="M67" s="2" t="s">
        <v>177</v>
      </c>
    </row>
    <row r="68" spans="1:13" x14ac:dyDescent="0.25">
      <c r="A68" s="2" t="s">
        <v>129</v>
      </c>
      <c r="B68" s="2" t="s">
        <v>130</v>
      </c>
      <c r="C68" s="2" t="s">
        <v>13</v>
      </c>
      <c r="D68" s="2" t="str">
        <f t="shared" si="11"/>
        <v>U12</v>
      </c>
      <c r="E68" s="2">
        <v>2009</v>
      </c>
      <c r="F68" s="2" t="s">
        <v>150</v>
      </c>
      <c r="G68" s="2" t="str">
        <f>"-36kg"</f>
        <v>-36kg</v>
      </c>
      <c r="H68" s="2">
        <v>214948</v>
      </c>
      <c r="I68" s="2" t="s">
        <v>17</v>
      </c>
      <c r="J68" s="2" t="s">
        <v>165</v>
      </c>
      <c r="K68" s="2" t="s">
        <v>10</v>
      </c>
      <c r="L68" s="2" t="s">
        <v>10</v>
      </c>
      <c r="M68" s="2" t="s">
        <v>177</v>
      </c>
    </row>
    <row r="69" spans="1:13" x14ac:dyDescent="0.25">
      <c r="A69" s="2" t="str">
        <f>"Ethan"</f>
        <v>Ethan</v>
      </c>
      <c r="B69" s="2" t="str">
        <f>"Fan"</f>
        <v>Fan</v>
      </c>
      <c r="C69" s="2" t="str">
        <f t="shared" ref="C69:C86" si="12">"M"</f>
        <v>M</v>
      </c>
      <c r="D69" s="2" t="str">
        <f t="shared" si="11"/>
        <v>U12</v>
      </c>
      <c r="E69" s="2">
        <v>2008</v>
      </c>
      <c r="F69" s="2" t="str">
        <f>"Judo Phénix - Collège Charlemagne"</f>
        <v>Judo Phénix - Collège Charlemagne</v>
      </c>
      <c r="G69" s="2" t="str">
        <f>"-30kg"</f>
        <v>-30kg</v>
      </c>
      <c r="H69" s="2" t="str">
        <f>"0238810"</f>
        <v>0238810</v>
      </c>
      <c r="I69" s="2" t="str">
        <f t="shared" ref="I69:I86" si="13">"QC"</f>
        <v>QC</v>
      </c>
      <c r="J69" s="2" t="s">
        <v>171</v>
      </c>
      <c r="K69" s="2" t="str">
        <f>""</f>
        <v/>
      </c>
      <c r="L69" s="2" t="str">
        <f>""</f>
        <v/>
      </c>
      <c r="M69" s="2" t="s">
        <v>177</v>
      </c>
    </row>
    <row r="70" spans="1:13" x14ac:dyDescent="0.25">
      <c r="A70" s="2" t="str">
        <f>"Sebastien"</f>
        <v>Sebastien</v>
      </c>
      <c r="B70" s="2" t="str">
        <f>"Fecteau"</f>
        <v>Fecteau</v>
      </c>
      <c r="C70" s="2" t="str">
        <f t="shared" si="12"/>
        <v>M</v>
      </c>
      <c r="D70" s="2" t="str">
        <f t="shared" si="11"/>
        <v>U12</v>
      </c>
      <c r="E70" s="2">
        <v>2008</v>
      </c>
      <c r="F70" s="2" t="str">
        <f>"Club de judo To Haku kan inc."</f>
        <v>Club de judo To Haku kan inc.</v>
      </c>
      <c r="G70" s="2" t="str">
        <f>"-30kg"</f>
        <v>-30kg</v>
      </c>
      <c r="H70" s="2" t="str">
        <f>"0241008"</f>
        <v>0241008</v>
      </c>
      <c r="I70" s="2" t="str">
        <f t="shared" si="13"/>
        <v>QC</v>
      </c>
      <c r="J70" s="2" t="s">
        <v>165</v>
      </c>
      <c r="K70" s="2" t="str">
        <f>""</f>
        <v/>
      </c>
      <c r="L70" s="2" t="str">
        <f>""</f>
        <v/>
      </c>
      <c r="M70" s="2" t="s">
        <v>177</v>
      </c>
    </row>
    <row r="71" spans="1:13" x14ac:dyDescent="0.25">
      <c r="A71" s="2" t="str">
        <f>"Belkacem"</f>
        <v>Belkacem</v>
      </c>
      <c r="B71" s="2" t="str">
        <f>"Filouane"</f>
        <v>Filouane</v>
      </c>
      <c r="C71" s="2" t="str">
        <f t="shared" si="12"/>
        <v>M</v>
      </c>
      <c r="D71" s="2" t="str">
        <f t="shared" si="11"/>
        <v>U12</v>
      </c>
      <c r="E71" s="2">
        <v>2009</v>
      </c>
      <c r="F71" s="2" t="str">
        <f>"Club judo St-Leonard"</f>
        <v>Club judo St-Leonard</v>
      </c>
      <c r="G71" s="2" t="str">
        <f>"-30kg"</f>
        <v>-30kg</v>
      </c>
      <c r="H71" s="2" t="str">
        <f>"0203547"</f>
        <v>0203547</v>
      </c>
      <c r="I71" s="2" t="str">
        <f t="shared" si="13"/>
        <v>QC</v>
      </c>
      <c r="J71" s="2" t="s">
        <v>171</v>
      </c>
      <c r="K71" s="2" t="str">
        <f>""</f>
        <v/>
      </c>
      <c r="L71" s="2" t="str">
        <f>""</f>
        <v/>
      </c>
      <c r="M71" s="2" t="s">
        <v>177</v>
      </c>
    </row>
    <row r="72" spans="1:13" x14ac:dyDescent="0.25">
      <c r="A72" s="2" t="str">
        <f>"Ali"</f>
        <v>Ali</v>
      </c>
      <c r="B72" s="2" t="str">
        <f>"Forest"</f>
        <v>Forest</v>
      </c>
      <c r="C72" s="2" t="str">
        <f t="shared" si="12"/>
        <v>M</v>
      </c>
      <c r="D72" s="2" t="str">
        <f t="shared" si="11"/>
        <v>U12</v>
      </c>
      <c r="E72" s="2">
        <v>2009</v>
      </c>
      <c r="F72" s="2" t="str">
        <f>"Kiseki Judo"</f>
        <v>Kiseki Judo</v>
      </c>
      <c r="G72" s="2" t="str">
        <f>"-36kg"</f>
        <v>-36kg</v>
      </c>
      <c r="H72" s="2" t="str">
        <f>"0225702"</f>
        <v>0225702</v>
      </c>
      <c r="I72" s="2" t="str">
        <f t="shared" si="13"/>
        <v>QC</v>
      </c>
      <c r="J72" s="2" t="s">
        <v>171</v>
      </c>
      <c r="K72" s="2" t="str">
        <f>""</f>
        <v/>
      </c>
      <c r="L72" s="2" t="str">
        <f>""</f>
        <v/>
      </c>
      <c r="M72" s="2" t="s">
        <v>177</v>
      </c>
    </row>
    <row r="73" spans="1:13" x14ac:dyDescent="0.25">
      <c r="A73" s="2" t="str">
        <f>"Paul-Emeric"</f>
        <v>Paul-Emeric</v>
      </c>
      <c r="B73" s="2" t="str">
        <f>"Fortin"</f>
        <v>Fortin</v>
      </c>
      <c r="C73" s="2" t="str">
        <f t="shared" si="12"/>
        <v>M</v>
      </c>
      <c r="D73" s="2" t="str">
        <f t="shared" si="11"/>
        <v>U12</v>
      </c>
      <c r="E73" s="2">
        <v>2008</v>
      </c>
      <c r="F73" s="2" t="str">
        <f>"Club de judo de l'Université Laval"</f>
        <v>Club de judo de l'Université Laval</v>
      </c>
      <c r="G73" s="2" t="str">
        <f>"-36kg"</f>
        <v>-36kg</v>
      </c>
      <c r="H73" s="2" t="str">
        <f>"0215963"</f>
        <v>0215963</v>
      </c>
      <c r="I73" s="2" t="str">
        <f t="shared" si="13"/>
        <v>QC</v>
      </c>
      <c r="J73" s="2" t="s">
        <v>171</v>
      </c>
      <c r="K73" s="2" t="str">
        <f>""</f>
        <v/>
      </c>
      <c r="L73" s="2" t="str">
        <f>""</f>
        <v/>
      </c>
      <c r="M73" s="2" t="s">
        <v>177</v>
      </c>
    </row>
    <row r="74" spans="1:13" x14ac:dyDescent="0.25">
      <c r="A74" s="2" t="str">
        <f>"Keywel"</f>
        <v>Keywel</v>
      </c>
      <c r="B74" s="2" t="str">
        <f>"Fuentes Gaignard"</f>
        <v>Fuentes Gaignard</v>
      </c>
      <c r="C74" s="2" t="str">
        <f t="shared" si="12"/>
        <v>M</v>
      </c>
      <c r="D74" s="2" t="str">
        <f t="shared" si="11"/>
        <v>U12</v>
      </c>
      <c r="E74" s="2">
        <v>2009</v>
      </c>
      <c r="F74" s="2" t="str">
        <f>"Club de judo Métropolitain inc."</f>
        <v>Club de judo Métropolitain inc.</v>
      </c>
      <c r="G74" s="2" t="str">
        <f>"-45kg"</f>
        <v>-45kg</v>
      </c>
      <c r="H74" s="2" t="str">
        <f>"0190141"</f>
        <v>0190141</v>
      </c>
      <c r="I74" s="2" t="str">
        <f t="shared" si="13"/>
        <v>QC</v>
      </c>
      <c r="J74" s="2" t="s">
        <v>171</v>
      </c>
      <c r="K74" s="2" t="str">
        <f>""</f>
        <v/>
      </c>
      <c r="L74" s="2" t="str">
        <f>""</f>
        <v/>
      </c>
      <c r="M74" s="2" t="s">
        <v>177</v>
      </c>
    </row>
    <row r="75" spans="1:13" x14ac:dyDescent="0.25">
      <c r="A75" s="2" t="str">
        <f>"Sofiane"</f>
        <v>Sofiane</v>
      </c>
      <c r="B75" s="2" t="str">
        <f>"Gacete"</f>
        <v>Gacete</v>
      </c>
      <c r="C75" s="2" t="str">
        <f t="shared" si="12"/>
        <v>M</v>
      </c>
      <c r="D75" s="2" t="str">
        <f t="shared" si="11"/>
        <v>U12</v>
      </c>
      <c r="E75" s="2">
        <v>2009</v>
      </c>
      <c r="F75" s="2" t="str">
        <f>"Club judo St-Leonard"</f>
        <v>Club judo St-Leonard</v>
      </c>
      <c r="G75" s="2" t="str">
        <f>"-49kg"</f>
        <v>-49kg</v>
      </c>
      <c r="H75" s="2" t="str">
        <f>"0200845"</f>
        <v>0200845</v>
      </c>
      <c r="I75" s="2" t="str">
        <f t="shared" si="13"/>
        <v>QC</v>
      </c>
      <c r="J75" s="2" t="s">
        <v>171</v>
      </c>
      <c r="K75" s="2" t="str">
        <f>""</f>
        <v/>
      </c>
      <c r="L75" s="2" t="str">
        <f>""</f>
        <v/>
      </c>
      <c r="M75" s="2" t="s">
        <v>177</v>
      </c>
    </row>
    <row r="76" spans="1:13" x14ac:dyDescent="0.25">
      <c r="A76" s="2" t="str">
        <f>"Illie"</f>
        <v>Illie</v>
      </c>
      <c r="B76" s="2" t="str">
        <f>"Gandrabura"</f>
        <v>Gandrabura</v>
      </c>
      <c r="C76" s="2" t="str">
        <f t="shared" si="12"/>
        <v>M</v>
      </c>
      <c r="D76" s="2" t="str">
        <f t="shared" si="11"/>
        <v>U12</v>
      </c>
      <c r="E76" s="2">
        <v>2009</v>
      </c>
      <c r="F76" s="2" t="str">
        <f>"Sport Centre Ippon"</f>
        <v>Sport Centre Ippon</v>
      </c>
      <c r="G76" s="2" t="str">
        <f>"-42kg"</f>
        <v>-42kg</v>
      </c>
      <c r="H76" s="2" t="str">
        <f>"0411990"</f>
        <v>0411990</v>
      </c>
      <c r="I76" s="2" t="str">
        <f t="shared" si="13"/>
        <v>QC</v>
      </c>
      <c r="J76" s="2" t="s">
        <v>171</v>
      </c>
      <c r="K76" s="2" t="str">
        <f>""</f>
        <v/>
      </c>
      <c r="L76" s="2" t="str">
        <f>""</f>
        <v/>
      </c>
      <c r="M76" s="2" t="s">
        <v>177</v>
      </c>
    </row>
    <row r="77" spans="1:13" x14ac:dyDescent="0.25">
      <c r="A77" s="2" t="str">
        <f>"Louis"</f>
        <v>Louis</v>
      </c>
      <c r="B77" s="2" t="str">
        <f>"Ganseman"</f>
        <v>Ganseman</v>
      </c>
      <c r="C77" s="2" t="str">
        <f t="shared" si="12"/>
        <v>M</v>
      </c>
      <c r="D77" s="2" t="str">
        <f t="shared" si="11"/>
        <v>U12</v>
      </c>
      <c r="E77" s="2">
        <v>2008</v>
      </c>
      <c r="F77" s="2" t="str">
        <f>"Club de judo Shidokan inc."</f>
        <v>Club de judo Shidokan inc.</v>
      </c>
      <c r="G77" s="2" t="str">
        <f>"-25kg"</f>
        <v>-25kg</v>
      </c>
      <c r="H77" s="2" t="str">
        <f>"AutreFederation"</f>
        <v>AutreFederation</v>
      </c>
      <c r="I77" s="2" t="str">
        <f t="shared" si="13"/>
        <v>QC</v>
      </c>
      <c r="J77" s="2" t="s">
        <v>174</v>
      </c>
      <c r="K77" s="2" t="str">
        <f>""</f>
        <v/>
      </c>
      <c r="L77" s="2" t="str">
        <f>""</f>
        <v/>
      </c>
      <c r="M77" s="2" t="s">
        <v>177</v>
      </c>
    </row>
    <row r="78" spans="1:13" x14ac:dyDescent="0.25">
      <c r="A78" s="2" t="str">
        <f>"Mikael"</f>
        <v>Mikael</v>
      </c>
      <c r="B78" s="2" t="str">
        <f>"Garcia-Lavoie"</f>
        <v>Garcia-Lavoie</v>
      </c>
      <c r="C78" s="2" t="str">
        <f t="shared" si="12"/>
        <v>M</v>
      </c>
      <c r="D78" s="2" t="str">
        <f t="shared" si="11"/>
        <v>U12</v>
      </c>
      <c r="E78" s="2">
        <v>2008</v>
      </c>
      <c r="F78" s="2" t="str">
        <f>"Bushidokan"</f>
        <v>Bushidokan</v>
      </c>
      <c r="G78" s="2" t="str">
        <f>"-33kg"</f>
        <v>-33kg</v>
      </c>
      <c r="H78" s="2" t="str">
        <f>"0203754"</f>
        <v>0203754</v>
      </c>
      <c r="I78" s="2" t="str">
        <f t="shared" si="13"/>
        <v>QC</v>
      </c>
      <c r="J78" s="2" t="s">
        <v>166</v>
      </c>
      <c r="K78" s="2" t="str">
        <f>""</f>
        <v/>
      </c>
      <c r="L78" s="2" t="str">
        <f>""</f>
        <v/>
      </c>
      <c r="M78" s="2" t="s">
        <v>177</v>
      </c>
    </row>
    <row r="79" spans="1:13" x14ac:dyDescent="0.25">
      <c r="A79" s="2" t="str">
        <f>"Malick"</f>
        <v>Malick</v>
      </c>
      <c r="B79" s="2" t="str">
        <f>"Gaudreault"</f>
        <v>Gaudreault</v>
      </c>
      <c r="C79" s="2" t="str">
        <f t="shared" si="12"/>
        <v>M</v>
      </c>
      <c r="D79" s="2" t="str">
        <f t="shared" si="11"/>
        <v>U12</v>
      </c>
      <c r="E79" s="2">
        <v>2008</v>
      </c>
      <c r="F79" s="2" t="str">
        <f>"Club de judo Albatros Inc."</f>
        <v>Club de judo Albatros Inc.</v>
      </c>
      <c r="G79" s="2" t="str">
        <f>"-27kg"</f>
        <v>-27kg</v>
      </c>
      <c r="H79" s="2" t="str">
        <f>"0215934"</f>
        <v>0215934</v>
      </c>
      <c r="I79" s="2" t="str">
        <f t="shared" si="13"/>
        <v>QC</v>
      </c>
      <c r="J79" s="2" t="s">
        <v>171</v>
      </c>
      <c r="K79" s="2" t="str">
        <f>""</f>
        <v/>
      </c>
      <c r="L79" s="2" t="str">
        <f>""</f>
        <v/>
      </c>
      <c r="M79" s="2" t="s">
        <v>177</v>
      </c>
    </row>
    <row r="80" spans="1:13" x14ac:dyDescent="0.25">
      <c r="A80" s="2" t="str">
        <f>"Anthony"</f>
        <v>Anthony</v>
      </c>
      <c r="B80" s="2" t="str">
        <f>"Gaudreault"</f>
        <v>Gaudreault</v>
      </c>
      <c r="C80" s="2" t="str">
        <f t="shared" si="12"/>
        <v>M</v>
      </c>
      <c r="D80" s="2" t="str">
        <f t="shared" si="11"/>
        <v>U12</v>
      </c>
      <c r="E80" s="2">
        <v>2008</v>
      </c>
      <c r="F80" s="2" t="str">
        <f>"Dojo Zenshin"</f>
        <v>Dojo Zenshin</v>
      </c>
      <c r="G80" s="2" t="str">
        <f>"-30kg"</f>
        <v>-30kg</v>
      </c>
      <c r="H80" s="2" t="str">
        <f>"0200339"</f>
        <v>0200339</v>
      </c>
      <c r="I80" s="2" t="str">
        <f t="shared" si="13"/>
        <v>QC</v>
      </c>
      <c r="J80" s="2" t="s">
        <v>171</v>
      </c>
      <c r="K80" s="2" t="str">
        <f>""</f>
        <v/>
      </c>
      <c r="L80" s="2" t="str">
        <f>""</f>
        <v/>
      </c>
      <c r="M80" s="2" t="s">
        <v>177</v>
      </c>
    </row>
    <row r="81" spans="1:13" x14ac:dyDescent="0.25">
      <c r="A81" s="2" t="str">
        <f>"Eliot"</f>
        <v>Eliot</v>
      </c>
      <c r="B81" s="2" t="str">
        <f>"Gorcy"</f>
        <v>Gorcy</v>
      </c>
      <c r="C81" s="2" t="str">
        <f t="shared" si="12"/>
        <v>M</v>
      </c>
      <c r="D81" s="2" t="str">
        <f t="shared" si="11"/>
        <v>U12</v>
      </c>
      <c r="E81" s="2">
        <v>2008</v>
      </c>
      <c r="F81" s="2" t="str">
        <f>"Club de judo Shidokan inc."</f>
        <v>Club de judo Shidokan inc.</v>
      </c>
      <c r="G81" s="2" t="str">
        <f>"-33kg"</f>
        <v>-33kg</v>
      </c>
      <c r="H81" s="2" t="str">
        <f>"0179913"</f>
        <v>0179913</v>
      </c>
      <c r="I81" s="2" t="str">
        <f t="shared" si="13"/>
        <v>QC</v>
      </c>
      <c r="J81" s="2" t="s">
        <v>174</v>
      </c>
      <c r="K81" s="2" t="str">
        <f>""</f>
        <v/>
      </c>
      <c r="L81" s="2" t="str">
        <f>""</f>
        <v/>
      </c>
      <c r="M81" s="2" t="s">
        <v>177</v>
      </c>
    </row>
    <row r="82" spans="1:13" x14ac:dyDescent="0.25">
      <c r="A82" s="2" t="str">
        <f>"Walid"</f>
        <v>Walid</v>
      </c>
      <c r="B82" s="2" t="str">
        <f>"Issaad"</f>
        <v>Issaad</v>
      </c>
      <c r="C82" s="2" t="str">
        <f t="shared" si="12"/>
        <v>M</v>
      </c>
      <c r="D82" s="2" t="str">
        <f t="shared" si="11"/>
        <v>U12</v>
      </c>
      <c r="E82" s="2">
        <v>2008</v>
      </c>
      <c r="F82" s="2" t="str">
        <f>"Club de judo Métropolitain inc."</f>
        <v>Club de judo Métropolitain inc.</v>
      </c>
      <c r="G82" s="2" t="str">
        <f>"-30kg"</f>
        <v>-30kg</v>
      </c>
      <c r="H82" s="2" t="str">
        <f>"0413095"</f>
        <v>0413095</v>
      </c>
      <c r="I82" s="2" t="str">
        <f t="shared" si="13"/>
        <v>QC</v>
      </c>
      <c r="J82" s="2" t="s">
        <v>166</v>
      </c>
      <c r="K82" s="2" t="str">
        <f>""</f>
        <v/>
      </c>
      <c r="L82" s="2" t="str">
        <f>""</f>
        <v/>
      </c>
      <c r="M82" s="2" t="s">
        <v>177</v>
      </c>
    </row>
    <row r="83" spans="1:13" x14ac:dyDescent="0.25">
      <c r="A83" s="2" t="str">
        <f>"Emeric"</f>
        <v>Emeric</v>
      </c>
      <c r="B83" s="2" t="str">
        <f>"Jean"</f>
        <v>Jean</v>
      </c>
      <c r="C83" s="2" t="str">
        <f t="shared" si="12"/>
        <v>M</v>
      </c>
      <c r="D83" s="2" t="str">
        <f t="shared" si="11"/>
        <v>U12</v>
      </c>
      <c r="E83" s="2">
        <v>2009</v>
      </c>
      <c r="F83" s="2" t="str">
        <f>"Club de judo Multikyo"</f>
        <v>Club de judo Multikyo</v>
      </c>
      <c r="G83" s="2" t="str">
        <f>"-33kg"</f>
        <v>-33kg</v>
      </c>
      <c r="H83" s="2" t="str">
        <f>"0226300"</f>
        <v>0226300</v>
      </c>
      <c r="I83" s="2" t="str">
        <f t="shared" si="13"/>
        <v>QC</v>
      </c>
      <c r="J83" s="2" t="s">
        <v>165</v>
      </c>
      <c r="K83" s="2" t="str">
        <f>""</f>
        <v/>
      </c>
      <c r="L83" s="2" t="str">
        <f>""</f>
        <v/>
      </c>
      <c r="M83" s="2" t="s">
        <v>177</v>
      </c>
    </row>
    <row r="84" spans="1:13" x14ac:dyDescent="0.25">
      <c r="A84" s="2" t="str">
        <f>"Imadedine"</f>
        <v>Imadedine</v>
      </c>
      <c r="B84" s="2" t="str">
        <f>"Kaarer"</f>
        <v>Kaarer</v>
      </c>
      <c r="C84" s="2" t="str">
        <f t="shared" si="12"/>
        <v>M</v>
      </c>
      <c r="D84" s="2" t="str">
        <f t="shared" si="11"/>
        <v>U12</v>
      </c>
      <c r="E84" s="2">
        <v>2008</v>
      </c>
      <c r="F84" s="2" t="str">
        <f>"Club de judo Torii"</f>
        <v>Club de judo Torii</v>
      </c>
      <c r="G84" s="2" t="str">
        <f>"-33kg"</f>
        <v>-33kg</v>
      </c>
      <c r="H84" s="2" t="str">
        <f>"0203450"</f>
        <v>0203450</v>
      </c>
      <c r="I84" s="2" t="str">
        <f t="shared" si="13"/>
        <v>QC</v>
      </c>
      <c r="J84" s="2" t="s">
        <v>171</v>
      </c>
      <c r="K84" s="2" t="str">
        <f>""</f>
        <v/>
      </c>
      <c r="L84" s="2" t="str">
        <f>""</f>
        <v/>
      </c>
      <c r="M84" s="2" t="s">
        <v>177</v>
      </c>
    </row>
    <row r="85" spans="1:13" x14ac:dyDescent="0.25">
      <c r="A85" s="2" t="str">
        <f>"Mohamed Amine"</f>
        <v>Mohamed Amine</v>
      </c>
      <c r="B85" s="2" t="str">
        <f>"Kader"</f>
        <v>Kader</v>
      </c>
      <c r="C85" s="2" t="str">
        <f t="shared" si="12"/>
        <v>M</v>
      </c>
      <c r="D85" s="2" t="str">
        <f t="shared" si="11"/>
        <v>U12</v>
      </c>
      <c r="E85" s="2">
        <v>2008</v>
      </c>
      <c r="F85" s="2" t="str">
        <f>"Club judo St-Leonard"</f>
        <v>Club judo St-Leonard</v>
      </c>
      <c r="G85" s="2" t="str">
        <f>"-30kg"</f>
        <v>-30kg</v>
      </c>
      <c r="H85" s="2" t="str">
        <f>"0207725"</f>
        <v>0207725</v>
      </c>
      <c r="I85" s="2" t="str">
        <f t="shared" si="13"/>
        <v>QC</v>
      </c>
      <c r="J85" s="2" t="s">
        <v>171</v>
      </c>
      <c r="K85" s="2" t="str">
        <f>""</f>
        <v/>
      </c>
      <c r="L85" s="2" t="str">
        <f>""</f>
        <v/>
      </c>
      <c r="M85" s="2" t="s">
        <v>177</v>
      </c>
    </row>
    <row r="86" spans="1:13" x14ac:dyDescent="0.25">
      <c r="A86" s="2" t="str">
        <f>"Ousmane"</f>
        <v>Ousmane</v>
      </c>
      <c r="B86" s="2" t="str">
        <f>"Kane"</f>
        <v>Kane</v>
      </c>
      <c r="C86" s="2" t="str">
        <f t="shared" si="12"/>
        <v>M</v>
      </c>
      <c r="D86" s="2" t="str">
        <f t="shared" si="11"/>
        <v>U12</v>
      </c>
      <c r="E86" s="2">
        <v>2008</v>
      </c>
      <c r="F86" s="2" t="str">
        <f>"Club de judo Olympique"</f>
        <v>Club de judo Olympique</v>
      </c>
      <c r="G86" s="2" t="str">
        <f>"-42kg"</f>
        <v>-42kg</v>
      </c>
      <c r="H86" s="2" t="str">
        <f>"0226663"</f>
        <v>0226663</v>
      </c>
      <c r="I86" s="2" t="str">
        <f t="shared" si="13"/>
        <v>QC</v>
      </c>
      <c r="J86" s="2" t="s">
        <v>171</v>
      </c>
      <c r="K86" s="2" t="str">
        <f>""</f>
        <v/>
      </c>
      <c r="L86" s="2" t="str">
        <f>""</f>
        <v/>
      </c>
      <c r="M86" s="2" t="s">
        <v>177</v>
      </c>
    </row>
    <row r="87" spans="1:13" x14ac:dyDescent="0.25">
      <c r="A87" s="2" t="s">
        <v>125</v>
      </c>
      <c r="B87" s="2" t="s">
        <v>126</v>
      </c>
      <c r="C87" s="2" t="s">
        <v>13</v>
      </c>
      <c r="D87" s="2" t="str">
        <f t="shared" si="11"/>
        <v>U12</v>
      </c>
      <c r="E87" s="2">
        <v>2009</v>
      </c>
      <c r="F87" s="2" t="s">
        <v>150</v>
      </c>
      <c r="G87" s="2" t="str">
        <f>"-36kg"</f>
        <v>-36kg</v>
      </c>
      <c r="H87" s="2">
        <v>211880</v>
      </c>
      <c r="I87" s="2" t="s">
        <v>17</v>
      </c>
      <c r="J87" s="2" t="s">
        <v>171</v>
      </c>
      <c r="K87" s="2" t="s">
        <v>10</v>
      </c>
      <c r="L87" s="2" t="s">
        <v>10</v>
      </c>
      <c r="M87" s="2" t="s">
        <v>177</v>
      </c>
    </row>
    <row r="88" spans="1:13" x14ac:dyDescent="0.25">
      <c r="A88" s="2" t="str">
        <f>"Aymen"</f>
        <v>Aymen</v>
      </c>
      <c r="B88" s="2" t="str">
        <f>"Kobi"</f>
        <v>Kobi</v>
      </c>
      <c r="C88" s="2" t="str">
        <f t="shared" ref="C88:C113" si="14">"M"</f>
        <v>M</v>
      </c>
      <c r="D88" s="2" t="str">
        <f t="shared" si="11"/>
        <v>U12</v>
      </c>
      <c r="E88" s="2">
        <v>2008</v>
      </c>
      <c r="F88" s="2" t="str">
        <f>"Club judo St-Leonard"</f>
        <v>Club judo St-Leonard</v>
      </c>
      <c r="G88" s="2" t="str">
        <f>"-39kg"</f>
        <v>-39kg</v>
      </c>
      <c r="H88" s="2" t="str">
        <f>"0223763"</f>
        <v>0223763</v>
      </c>
      <c r="I88" s="2" t="str">
        <f t="shared" ref="I88:I113" si="15">"QC"</f>
        <v>QC</v>
      </c>
      <c r="J88" s="2" t="s">
        <v>165</v>
      </c>
      <c r="K88" s="2" t="str">
        <f>""</f>
        <v/>
      </c>
      <c r="L88" s="2" t="str">
        <f>""</f>
        <v/>
      </c>
      <c r="M88" s="2" t="s">
        <v>177</v>
      </c>
    </row>
    <row r="89" spans="1:13" x14ac:dyDescent="0.25">
      <c r="A89" s="2" t="str">
        <f>"Amil"</f>
        <v>Amil</v>
      </c>
      <c r="B89" s="2" t="str">
        <f>"Koren"</f>
        <v>Koren</v>
      </c>
      <c r="C89" s="2" t="str">
        <f t="shared" si="14"/>
        <v>M</v>
      </c>
      <c r="D89" s="2" t="str">
        <f t="shared" si="11"/>
        <v>U12</v>
      </c>
      <c r="E89" s="2">
        <v>2008</v>
      </c>
      <c r="F89" s="2" t="str">
        <f>"Club de judo Shidokan inc."</f>
        <v>Club de judo Shidokan inc.</v>
      </c>
      <c r="G89" s="2" t="str">
        <f>"-33kg"</f>
        <v>-33kg</v>
      </c>
      <c r="H89" s="2" t="str">
        <f>"0410104"</f>
        <v>0410104</v>
      </c>
      <c r="I89" s="2" t="str">
        <f t="shared" si="15"/>
        <v>QC</v>
      </c>
      <c r="J89" s="2" t="s">
        <v>166</v>
      </c>
      <c r="K89" s="2" t="str">
        <f>""</f>
        <v/>
      </c>
      <c r="L89" s="2" t="str">
        <f>""</f>
        <v/>
      </c>
      <c r="M89" s="2" t="s">
        <v>177</v>
      </c>
    </row>
    <row r="90" spans="1:13" x14ac:dyDescent="0.25">
      <c r="A90" s="2" t="str">
        <f>"Diale Paul Yanis"</f>
        <v>Diale Paul Yanis</v>
      </c>
      <c r="B90" s="2" t="str">
        <f>"Kouegni"</f>
        <v>Kouegni</v>
      </c>
      <c r="C90" s="2" t="str">
        <f t="shared" si="14"/>
        <v>M</v>
      </c>
      <c r="D90" s="2" t="str">
        <f t="shared" si="11"/>
        <v>U12</v>
      </c>
      <c r="E90" s="2">
        <v>2009</v>
      </c>
      <c r="F90" s="2" t="str">
        <f>"Club judo St-Leonard"</f>
        <v>Club judo St-Leonard</v>
      </c>
      <c r="G90" s="2" t="str">
        <f>"-49kg"</f>
        <v>-49kg</v>
      </c>
      <c r="H90" s="2" t="str">
        <f>"0410631"</f>
        <v>0410631</v>
      </c>
      <c r="I90" s="2" t="str">
        <f t="shared" si="15"/>
        <v>QC</v>
      </c>
      <c r="J90" s="2" t="s">
        <v>166</v>
      </c>
      <c r="K90" s="2" t="str">
        <f>""</f>
        <v/>
      </c>
      <c r="L90" s="2" t="str">
        <f>""</f>
        <v/>
      </c>
      <c r="M90" s="2" t="s">
        <v>177</v>
      </c>
    </row>
    <row r="91" spans="1:13" x14ac:dyDescent="0.25">
      <c r="A91" s="2" t="str">
        <f>"Michael-Yanis"</f>
        <v>Michael-Yanis</v>
      </c>
      <c r="B91" s="2" t="str">
        <f>"Lahlou"</f>
        <v>Lahlou</v>
      </c>
      <c r="C91" s="2" t="str">
        <f t="shared" si="14"/>
        <v>M</v>
      </c>
      <c r="D91" s="2" t="str">
        <f t="shared" si="11"/>
        <v>U12</v>
      </c>
      <c r="E91" s="2">
        <v>2008</v>
      </c>
      <c r="F91" s="2" t="str">
        <f>"Bushidokan"</f>
        <v>Bushidokan</v>
      </c>
      <c r="G91" s="2" t="str">
        <f>"-25kg"</f>
        <v>-25kg</v>
      </c>
      <c r="H91" s="2" t="str">
        <f>"0200917"</f>
        <v>0200917</v>
      </c>
      <c r="I91" s="2" t="str">
        <f t="shared" si="15"/>
        <v>QC</v>
      </c>
      <c r="J91" s="2" t="s">
        <v>171</v>
      </c>
      <c r="K91" s="2" t="str">
        <f>""</f>
        <v/>
      </c>
      <c r="L91" s="2" t="str">
        <f>""</f>
        <v/>
      </c>
      <c r="M91" s="2" t="s">
        <v>177</v>
      </c>
    </row>
    <row r="92" spans="1:13" x14ac:dyDescent="0.25">
      <c r="A92" s="2" t="str">
        <f>"Thomas"</f>
        <v>Thomas</v>
      </c>
      <c r="B92" s="2" t="str">
        <f>"Lapelletiere"</f>
        <v>Lapelletiere</v>
      </c>
      <c r="C92" s="2" t="str">
        <f t="shared" si="14"/>
        <v>M</v>
      </c>
      <c r="D92" s="2" t="str">
        <f t="shared" si="11"/>
        <v>U12</v>
      </c>
      <c r="E92" s="2">
        <v>2009</v>
      </c>
      <c r="F92" s="2" t="str">
        <f>"Arts martiaux Budokai inc."</f>
        <v>Arts martiaux Budokai inc.</v>
      </c>
      <c r="G92" s="2" t="str">
        <f>"-27kg"</f>
        <v>-27kg</v>
      </c>
      <c r="H92" s="2" t="str">
        <f>"0214372"</f>
        <v>0214372</v>
      </c>
      <c r="I92" s="2" t="str">
        <f t="shared" si="15"/>
        <v>QC</v>
      </c>
      <c r="J92" s="2" t="s">
        <v>171</v>
      </c>
      <c r="K92" s="2" t="str">
        <f>""</f>
        <v/>
      </c>
      <c r="L92" s="2" t="str">
        <f>""</f>
        <v/>
      </c>
      <c r="M92" s="2" t="s">
        <v>177</v>
      </c>
    </row>
    <row r="93" spans="1:13" x14ac:dyDescent="0.25">
      <c r="A93" s="2" t="str">
        <f>"Benjamin"</f>
        <v>Benjamin</v>
      </c>
      <c r="B93" s="2" t="str">
        <f>"Laporte"</f>
        <v>Laporte</v>
      </c>
      <c r="C93" s="2" t="str">
        <f t="shared" si="14"/>
        <v>M</v>
      </c>
      <c r="D93" s="2" t="str">
        <f t="shared" si="11"/>
        <v>U12</v>
      </c>
      <c r="E93" s="2">
        <v>2008</v>
      </c>
      <c r="F93" s="2" t="str">
        <f>"Kime-Waza  Joliette"</f>
        <v>Kime-Waza  Joliette</v>
      </c>
      <c r="G93" s="2" t="str">
        <f>"-60kg"</f>
        <v>-60kg</v>
      </c>
      <c r="H93" s="2" t="str">
        <f>"0197253"</f>
        <v>0197253</v>
      </c>
      <c r="I93" s="2" t="str">
        <f t="shared" si="15"/>
        <v>QC</v>
      </c>
      <c r="J93" s="2" t="s">
        <v>171</v>
      </c>
      <c r="K93" s="2" t="str">
        <f>""</f>
        <v/>
      </c>
      <c r="L93" s="2" t="str">
        <f>""</f>
        <v/>
      </c>
      <c r="M93" s="2" t="s">
        <v>177</v>
      </c>
    </row>
    <row r="94" spans="1:13" x14ac:dyDescent="0.25">
      <c r="A94" s="2" t="str">
        <f>"Antoine"</f>
        <v>Antoine</v>
      </c>
      <c r="B94" s="2" t="str">
        <f>"Lebel-Roussil"</f>
        <v>Lebel-Roussil</v>
      </c>
      <c r="C94" s="2" t="str">
        <f t="shared" si="14"/>
        <v>M</v>
      </c>
      <c r="D94" s="2" t="str">
        <f t="shared" si="11"/>
        <v>U12</v>
      </c>
      <c r="E94" s="2">
        <v>2009</v>
      </c>
      <c r="F94" s="2" t="str">
        <f>"Club de Judo Multisports"</f>
        <v>Club de Judo Multisports</v>
      </c>
      <c r="G94" s="2" t="str">
        <f>"-36kg"</f>
        <v>-36kg</v>
      </c>
      <c r="H94" s="2" t="str">
        <f>"0214906"</f>
        <v>0214906</v>
      </c>
      <c r="I94" s="2" t="str">
        <f t="shared" si="15"/>
        <v>QC</v>
      </c>
      <c r="J94" s="2" t="s">
        <v>171</v>
      </c>
      <c r="K94" s="2" t="str">
        <f>""</f>
        <v/>
      </c>
      <c r="L94" s="2" t="str">
        <f>""</f>
        <v/>
      </c>
      <c r="M94" s="2" t="s">
        <v>177</v>
      </c>
    </row>
    <row r="95" spans="1:13" x14ac:dyDescent="0.25">
      <c r="A95" s="2" t="str">
        <f>"Gaspard"</f>
        <v>Gaspard</v>
      </c>
      <c r="B95" s="2" t="str">
        <f>"Lefebvre Côté"</f>
        <v>Lefebvre Côté</v>
      </c>
      <c r="C95" s="2" t="str">
        <f t="shared" si="14"/>
        <v>M</v>
      </c>
      <c r="D95" s="2" t="str">
        <f t="shared" si="11"/>
        <v>U12</v>
      </c>
      <c r="E95" s="2">
        <v>2008</v>
      </c>
      <c r="F95" s="2" t="str">
        <f>"Club de judo To Haku kan inc."</f>
        <v>Club de judo To Haku kan inc.</v>
      </c>
      <c r="G95" s="2" t="str">
        <f>"-39kg"</f>
        <v>-39kg</v>
      </c>
      <c r="H95" s="2" t="str">
        <f>"0237749"</f>
        <v>0237749</v>
      </c>
      <c r="I95" s="2" t="str">
        <f t="shared" si="15"/>
        <v>QC</v>
      </c>
      <c r="J95" s="2" t="s">
        <v>165</v>
      </c>
      <c r="K95" s="2" t="str">
        <f>""</f>
        <v/>
      </c>
      <c r="L95" s="2" t="str">
        <f>""</f>
        <v/>
      </c>
      <c r="M95" s="2" t="s">
        <v>177</v>
      </c>
    </row>
    <row r="96" spans="1:13" x14ac:dyDescent="0.25">
      <c r="A96" s="2" t="str">
        <f>"Kaleb"</f>
        <v>Kaleb</v>
      </c>
      <c r="B96" s="2" t="str">
        <f>"L'esperance"</f>
        <v>L'esperance</v>
      </c>
      <c r="C96" s="2" t="str">
        <f t="shared" si="14"/>
        <v>M</v>
      </c>
      <c r="D96" s="2" t="str">
        <f t="shared" si="11"/>
        <v>U12</v>
      </c>
      <c r="E96" s="2">
        <v>2008</v>
      </c>
      <c r="F96" s="2" t="str">
        <f>"Judo Blainville"</f>
        <v>Judo Blainville</v>
      </c>
      <c r="G96" s="2" t="str">
        <f>"-49kg"</f>
        <v>-49kg</v>
      </c>
      <c r="H96" s="2" t="str">
        <f>"0235081"</f>
        <v>0235081</v>
      </c>
      <c r="I96" s="2" t="str">
        <f t="shared" si="15"/>
        <v>QC</v>
      </c>
      <c r="J96" s="2" t="s">
        <v>171</v>
      </c>
      <c r="K96" s="2" t="str">
        <f>""</f>
        <v/>
      </c>
      <c r="L96" s="2" t="str">
        <f>""</f>
        <v/>
      </c>
      <c r="M96" s="2" t="s">
        <v>177</v>
      </c>
    </row>
    <row r="97" spans="1:13" x14ac:dyDescent="0.25">
      <c r="A97" s="2" t="str">
        <f>"Landon"</f>
        <v>Landon</v>
      </c>
      <c r="B97" s="2" t="str">
        <f>"Lessard"</f>
        <v>Lessard</v>
      </c>
      <c r="C97" s="2" t="str">
        <f t="shared" si="14"/>
        <v>M</v>
      </c>
      <c r="D97" s="2" t="str">
        <f t="shared" si="11"/>
        <v>U12</v>
      </c>
      <c r="E97" s="2">
        <v>2009</v>
      </c>
      <c r="F97" s="2" t="str">
        <f>"Judo Beauce"</f>
        <v>Judo Beauce</v>
      </c>
      <c r="G97" s="2" t="str">
        <f>"-39kg"</f>
        <v>-39kg</v>
      </c>
      <c r="H97" s="2" t="str">
        <f>"0227731"</f>
        <v>0227731</v>
      </c>
      <c r="I97" s="2" t="str">
        <f t="shared" si="15"/>
        <v>QC</v>
      </c>
      <c r="J97" s="2" t="s">
        <v>172</v>
      </c>
      <c r="K97" s="2" t="str">
        <f>""</f>
        <v/>
      </c>
      <c r="L97" s="2" t="str">
        <f>""</f>
        <v/>
      </c>
      <c r="M97" s="2" t="s">
        <v>177</v>
      </c>
    </row>
    <row r="98" spans="1:13" x14ac:dyDescent="0.25">
      <c r="A98" s="2" t="str">
        <f>"Milo"</f>
        <v>Milo</v>
      </c>
      <c r="B98" s="2" t="str">
        <f>"Levenson"</f>
        <v>Levenson</v>
      </c>
      <c r="C98" s="2" t="str">
        <f t="shared" si="14"/>
        <v>M</v>
      </c>
      <c r="D98" s="2" t="str">
        <f t="shared" ref="D98:D129" si="16">"U12"</f>
        <v>U12</v>
      </c>
      <c r="E98" s="2">
        <v>2009</v>
      </c>
      <c r="F98" s="2" t="str">
        <f>"Bushidokan"</f>
        <v>Bushidokan</v>
      </c>
      <c r="G98" s="2" t="str">
        <f>"-27kg"</f>
        <v>-27kg</v>
      </c>
      <c r="H98" s="2" t="str">
        <f>"0218419"</f>
        <v>0218419</v>
      </c>
      <c r="I98" s="2" t="str">
        <f t="shared" si="15"/>
        <v>QC</v>
      </c>
      <c r="J98" s="2" t="s">
        <v>165</v>
      </c>
      <c r="K98" s="2" t="str">
        <f>""</f>
        <v/>
      </c>
      <c r="L98" s="2" t="str">
        <f>""</f>
        <v/>
      </c>
      <c r="M98" s="2" t="s">
        <v>177</v>
      </c>
    </row>
    <row r="99" spans="1:13" x14ac:dyDescent="0.25">
      <c r="A99" s="2" t="str">
        <f>"Zinedine"</f>
        <v>Zinedine</v>
      </c>
      <c r="B99" s="2" t="str">
        <f>"Louchami"</f>
        <v>Louchami</v>
      </c>
      <c r="C99" s="2" t="str">
        <f t="shared" si="14"/>
        <v>M</v>
      </c>
      <c r="D99" s="2" t="str">
        <f t="shared" si="16"/>
        <v>U12</v>
      </c>
      <c r="E99" s="2">
        <v>2008</v>
      </c>
      <c r="F99" s="2" t="str">
        <f>"Club judo St-Leonard"</f>
        <v>Club judo St-Leonard</v>
      </c>
      <c r="G99" s="2" t="str">
        <f>"-42kg"</f>
        <v>-42kg</v>
      </c>
      <c r="H99" s="2" t="str">
        <f>"0213061"</f>
        <v>0213061</v>
      </c>
      <c r="I99" s="2" t="str">
        <f t="shared" si="15"/>
        <v>QC</v>
      </c>
      <c r="J99" s="2" t="s">
        <v>165</v>
      </c>
      <c r="K99" s="2" t="str">
        <f>""</f>
        <v/>
      </c>
      <c r="L99" s="2" t="str">
        <f>""</f>
        <v/>
      </c>
      <c r="M99" s="2" t="s">
        <v>177</v>
      </c>
    </row>
    <row r="100" spans="1:13" x14ac:dyDescent="0.25">
      <c r="A100" s="2" t="str">
        <f>"William"</f>
        <v>William</v>
      </c>
      <c r="B100" s="2" t="str">
        <f>"Maheux"</f>
        <v>Maheux</v>
      </c>
      <c r="C100" s="2" t="str">
        <f t="shared" si="14"/>
        <v>M</v>
      </c>
      <c r="D100" s="2" t="str">
        <f t="shared" si="16"/>
        <v>U12</v>
      </c>
      <c r="E100" s="2">
        <v>2008</v>
      </c>
      <c r="F100" s="2" t="str">
        <f>"Judo Beauce"</f>
        <v>Judo Beauce</v>
      </c>
      <c r="G100" s="2" t="str">
        <f>"-25kg"</f>
        <v>-25kg</v>
      </c>
      <c r="H100" s="2" t="str">
        <f>"0220930"</f>
        <v>0220930</v>
      </c>
      <c r="I100" s="2" t="str">
        <f t="shared" si="15"/>
        <v>QC</v>
      </c>
      <c r="J100" s="2" t="s">
        <v>174</v>
      </c>
      <c r="K100" s="2" t="str">
        <f>""</f>
        <v/>
      </c>
      <c r="L100" s="2" t="str">
        <f>""</f>
        <v/>
      </c>
      <c r="M100" s="2" t="s">
        <v>177</v>
      </c>
    </row>
    <row r="101" spans="1:13" x14ac:dyDescent="0.25">
      <c r="A101" s="2" t="str">
        <f>"Anes"</f>
        <v>Anes</v>
      </c>
      <c r="B101" s="2" t="str">
        <f>"Mati"</f>
        <v>Mati</v>
      </c>
      <c r="C101" s="2" t="str">
        <f t="shared" si="14"/>
        <v>M</v>
      </c>
      <c r="D101" s="2" t="str">
        <f t="shared" si="16"/>
        <v>U12</v>
      </c>
      <c r="E101" s="2">
        <v>2009</v>
      </c>
      <c r="F101" s="2" t="str">
        <f>"Club de judo Torii"</f>
        <v>Club de judo Torii</v>
      </c>
      <c r="G101" s="2" t="str">
        <f>"-33kg"</f>
        <v>-33kg</v>
      </c>
      <c r="H101" s="2" t="str">
        <f>"0197970"</f>
        <v>0197970</v>
      </c>
      <c r="I101" s="2" t="str">
        <f t="shared" si="15"/>
        <v>QC</v>
      </c>
      <c r="J101" s="2" t="s">
        <v>166</v>
      </c>
      <c r="K101" s="2" t="str">
        <f>""</f>
        <v/>
      </c>
      <c r="L101" s="2" t="str">
        <f>""</f>
        <v/>
      </c>
      <c r="M101" s="2" t="s">
        <v>177</v>
      </c>
    </row>
    <row r="102" spans="1:13" x14ac:dyDescent="0.25">
      <c r="A102" s="2" t="str">
        <f>"Lucca"</f>
        <v>Lucca</v>
      </c>
      <c r="B102" s="2" t="str">
        <f>"McDougall"</f>
        <v>McDougall</v>
      </c>
      <c r="C102" s="2" t="str">
        <f t="shared" si="14"/>
        <v>M</v>
      </c>
      <c r="D102" s="2" t="str">
        <f t="shared" si="16"/>
        <v>U12</v>
      </c>
      <c r="E102" s="2">
        <v>2008</v>
      </c>
      <c r="F102" s="2" t="str">
        <f>"Bushidokan"</f>
        <v>Bushidokan</v>
      </c>
      <c r="G102" s="2" t="str">
        <f>"-33kg"</f>
        <v>-33kg</v>
      </c>
      <c r="H102" s="2" t="str">
        <f>"0210311"</f>
        <v>0210311</v>
      </c>
      <c r="I102" s="2" t="str">
        <f t="shared" si="15"/>
        <v>QC</v>
      </c>
      <c r="J102" s="2" t="s">
        <v>166</v>
      </c>
      <c r="K102" s="2" t="str">
        <f>""</f>
        <v/>
      </c>
      <c r="L102" s="2" t="str">
        <f>""</f>
        <v/>
      </c>
      <c r="M102" s="2" t="s">
        <v>177</v>
      </c>
    </row>
    <row r="103" spans="1:13" x14ac:dyDescent="0.25">
      <c r="A103" s="2" t="str">
        <f>"Baraa"</f>
        <v>Baraa</v>
      </c>
      <c r="B103" s="2" t="str">
        <f>"Messaoudi"</f>
        <v>Messaoudi</v>
      </c>
      <c r="C103" s="2" t="str">
        <f t="shared" si="14"/>
        <v>M</v>
      </c>
      <c r="D103" s="2" t="str">
        <f t="shared" si="16"/>
        <v>U12</v>
      </c>
      <c r="E103" s="2">
        <v>2008</v>
      </c>
      <c r="F103" s="2" t="str">
        <f>"Club de judo Olympique"</f>
        <v>Club de judo Olympique</v>
      </c>
      <c r="G103" s="2" t="str">
        <f>"-33kg"</f>
        <v>-33kg</v>
      </c>
      <c r="H103" s="2" t="str">
        <f>"0188940"</f>
        <v>0188940</v>
      </c>
      <c r="I103" s="2" t="str">
        <f t="shared" si="15"/>
        <v>QC</v>
      </c>
      <c r="J103" s="2" t="s">
        <v>174</v>
      </c>
      <c r="K103" s="2" t="str">
        <f>""</f>
        <v/>
      </c>
      <c r="L103" s="2" t="str">
        <f>""</f>
        <v/>
      </c>
      <c r="M103" s="2" t="s">
        <v>177</v>
      </c>
    </row>
    <row r="104" spans="1:13" x14ac:dyDescent="0.25">
      <c r="A104" s="2" t="str">
        <f>"Idir"</f>
        <v>Idir</v>
      </c>
      <c r="B104" s="2" t="str">
        <f>"Messaoudi"</f>
        <v>Messaoudi</v>
      </c>
      <c r="C104" s="2" t="str">
        <f t="shared" si="14"/>
        <v>M</v>
      </c>
      <c r="D104" s="2" t="str">
        <f t="shared" si="16"/>
        <v>U12</v>
      </c>
      <c r="E104" s="2">
        <v>2008</v>
      </c>
      <c r="F104" s="2" t="str">
        <f>"Club judo St-Leonard"</f>
        <v>Club judo St-Leonard</v>
      </c>
      <c r="G104" s="2" t="str">
        <f>"-60kg"</f>
        <v>-60kg</v>
      </c>
      <c r="H104" s="2" t="str">
        <f>"0223745"</f>
        <v>0223745</v>
      </c>
      <c r="I104" s="2" t="str">
        <f t="shared" si="15"/>
        <v>QC</v>
      </c>
      <c r="J104" s="2" t="s">
        <v>166</v>
      </c>
      <c r="K104" s="2" t="str">
        <f>""</f>
        <v/>
      </c>
      <c r="L104" s="2" t="str">
        <f>""</f>
        <v/>
      </c>
      <c r="M104" s="2" t="s">
        <v>177</v>
      </c>
    </row>
    <row r="105" spans="1:13" x14ac:dyDescent="0.25">
      <c r="A105" s="2" t="str">
        <f>"Audrick"</f>
        <v>Audrick</v>
      </c>
      <c r="B105" s="2" t="str">
        <f>"Miersch-Tremblay"</f>
        <v>Miersch-Tremblay</v>
      </c>
      <c r="C105" s="2" t="str">
        <f t="shared" si="14"/>
        <v>M</v>
      </c>
      <c r="D105" s="2" t="str">
        <f t="shared" si="16"/>
        <v>U12</v>
      </c>
      <c r="E105" s="2">
        <v>2008</v>
      </c>
      <c r="F105" s="2" t="str">
        <f>"Club de judo Métropolitain inc."</f>
        <v>Club de judo Métropolitain inc.</v>
      </c>
      <c r="G105" s="2" t="str">
        <f>"-39kg"</f>
        <v>-39kg</v>
      </c>
      <c r="H105" s="2" t="str">
        <f>"0223698"</f>
        <v>0223698</v>
      </c>
      <c r="I105" s="2" t="str">
        <f t="shared" si="15"/>
        <v>QC</v>
      </c>
      <c r="J105" s="2" t="s">
        <v>171</v>
      </c>
      <c r="K105" s="2" t="str">
        <f>""</f>
        <v/>
      </c>
      <c r="L105" s="2" t="str">
        <f>""</f>
        <v/>
      </c>
      <c r="M105" s="2" t="s">
        <v>177</v>
      </c>
    </row>
    <row r="106" spans="1:13" x14ac:dyDescent="0.25">
      <c r="A106" s="2" t="str">
        <f>"Elyes"</f>
        <v>Elyes</v>
      </c>
      <c r="B106" s="2" t="str">
        <f>"Miled"</f>
        <v>Miled</v>
      </c>
      <c r="C106" s="2" t="str">
        <f t="shared" si="14"/>
        <v>M</v>
      </c>
      <c r="D106" s="2" t="str">
        <f t="shared" si="16"/>
        <v>U12</v>
      </c>
      <c r="E106" s="2">
        <v>2008</v>
      </c>
      <c r="F106" s="2" t="str">
        <f>"Club de judo Olympique"</f>
        <v>Club de judo Olympique</v>
      </c>
      <c r="G106" s="2" t="str">
        <f>"-36kg"</f>
        <v>-36kg</v>
      </c>
      <c r="H106" s="2" t="str">
        <f>"0239628"</f>
        <v>0239628</v>
      </c>
      <c r="I106" s="2" t="str">
        <f t="shared" si="15"/>
        <v>QC</v>
      </c>
      <c r="J106" s="2" t="s">
        <v>165</v>
      </c>
      <c r="K106" s="2" t="str">
        <f>""</f>
        <v/>
      </c>
      <c r="L106" s="2" t="str">
        <f>""</f>
        <v/>
      </c>
      <c r="M106" s="2" t="s">
        <v>177</v>
      </c>
    </row>
    <row r="107" spans="1:13" x14ac:dyDescent="0.25">
      <c r="A107" s="2" t="str">
        <f>"Mohamed Abdallah"</f>
        <v>Mohamed Abdallah</v>
      </c>
      <c r="B107" s="2" t="str">
        <f>"Misraoui"</f>
        <v>Misraoui</v>
      </c>
      <c r="C107" s="2" t="str">
        <f t="shared" si="14"/>
        <v>M</v>
      </c>
      <c r="D107" s="2" t="str">
        <f t="shared" si="16"/>
        <v>U12</v>
      </c>
      <c r="E107" s="2">
        <v>2009</v>
      </c>
      <c r="F107" s="2" t="str">
        <f>"Club judo St-Leonard"</f>
        <v>Club judo St-Leonard</v>
      </c>
      <c r="G107" s="2" t="str">
        <f>"-39kg"</f>
        <v>-39kg</v>
      </c>
      <c r="H107" s="2" t="str">
        <f>"0410443"</f>
        <v>0410443</v>
      </c>
      <c r="I107" s="2" t="str">
        <f t="shared" si="15"/>
        <v>QC</v>
      </c>
      <c r="J107" s="2" t="s">
        <v>171</v>
      </c>
      <c r="K107" s="2" t="str">
        <f>""</f>
        <v/>
      </c>
      <c r="L107" s="2" t="str">
        <f>""</f>
        <v/>
      </c>
      <c r="M107" s="2" t="s">
        <v>177</v>
      </c>
    </row>
    <row r="108" spans="1:13" x14ac:dyDescent="0.25">
      <c r="A108" s="2" t="str">
        <f>"Assous"</f>
        <v>Assous</v>
      </c>
      <c r="B108" s="2" t="str">
        <f>"Mohamed Aghiles"</f>
        <v>Mohamed Aghiles</v>
      </c>
      <c r="C108" s="2" t="str">
        <f t="shared" si="14"/>
        <v>M</v>
      </c>
      <c r="D108" s="2" t="str">
        <f t="shared" si="16"/>
        <v>U12</v>
      </c>
      <c r="E108" s="2">
        <v>2008</v>
      </c>
      <c r="F108" s="2" t="str">
        <f>"Club judo St-Leonard"</f>
        <v>Club judo St-Leonard</v>
      </c>
      <c r="G108" s="2" t="str">
        <f>"-30kg"</f>
        <v>-30kg</v>
      </c>
      <c r="H108" s="2" t="str">
        <f>"0410444"</f>
        <v>0410444</v>
      </c>
      <c r="I108" s="2" t="str">
        <f t="shared" si="15"/>
        <v>QC</v>
      </c>
      <c r="J108" s="2" t="s">
        <v>165</v>
      </c>
      <c r="K108" s="2" t="str">
        <f>""</f>
        <v/>
      </c>
      <c r="L108" s="2" t="str">
        <f>""</f>
        <v/>
      </c>
      <c r="M108" s="2" t="s">
        <v>177</v>
      </c>
    </row>
    <row r="109" spans="1:13" x14ac:dyDescent="0.25">
      <c r="A109" s="2" t="str">
        <f>"Sam"</f>
        <v>Sam</v>
      </c>
      <c r="B109" s="2" t="str">
        <f>"Morales"</f>
        <v>Morales</v>
      </c>
      <c r="C109" s="2" t="str">
        <f t="shared" si="14"/>
        <v>M</v>
      </c>
      <c r="D109" s="2" t="str">
        <f t="shared" si="16"/>
        <v>U12</v>
      </c>
      <c r="E109" s="2">
        <v>2009</v>
      </c>
      <c r="F109" s="2" t="str">
        <f>"Tritton Judo"</f>
        <v>Tritton Judo</v>
      </c>
      <c r="G109" s="2" t="str">
        <f>"-36kg"</f>
        <v>-36kg</v>
      </c>
      <c r="H109" s="2" t="str">
        <f>"0241100"</f>
        <v>0241100</v>
      </c>
      <c r="I109" s="2" t="str">
        <f t="shared" si="15"/>
        <v>QC</v>
      </c>
      <c r="J109" s="2" t="s">
        <v>171</v>
      </c>
      <c r="K109" s="2" t="str">
        <f>""</f>
        <v/>
      </c>
      <c r="L109" s="2" t="str">
        <f>""</f>
        <v/>
      </c>
      <c r="M109" s="2" t="s">
        <v>177</v>
      </c>
    </row>
    <row r="110" spans="1:13" x14ac:dyDescent="0.25">
      <c r="A110" s="2" t="str">
        <f>"Jason"</f>
        <v>Jason</v>
      </c>
      <c r="B110" s="2" t="str">
        <f>"Nachmanson"</f>
        <v>Nachmanson</v>
      </c>
      <c r="C110" s="2" t="str">
        <f t="shared" si="14"/>
        <v>M</v>
      </c>
      <c r="D110" s="2" t="str">
        <f t="shared" si="16"/>
        <v>U12</v>
      </c>
      <c r="E110" s="2">
        <v>2009</v>
      </c>
      <c r="F110" s="2" t="str">
        <f>"Bushidokan"</f>
        <v>Bushidokan</v>
      </c>
      <c r="G110" s="2" t="str">
        <f>"-39kg"</f>
        <v>-39kg</v>
      </c>
      <c r="H110" s="2" t="str">
        <f>"0218412"</f>
        <v>0218412</v>
      </c>
      <c r="I110" s="2" t="str">
        <f t="shared" si="15"/>
        <v>QC</v>
      </c>
      <c r="J110" s="2" t="s">
        <v>165</v>
      </c>
      <c r="K110" s="2" t="str">
        <f>""</f>
        <v/>
      </c>
      <c r="L110" s="2" t="str">
        <f>""</f>
        <v/>
      </c>
      <c r="M110" s="2" t="s">
        <v>177</v>
      </c>
    </row>
    <row r="111" spans="1:13" x14ac:dyDescent="0.25">
      <c r="A111" s="2" t="str">
        <f>"Pathmasiri"</f>
        <v>Pathmasiri</v>
      </c>
      <c r="B111" s="2" t="str">
        <f>"Naveen"</f>
        <v>Naveen</v>
      </c>
      <c r="C111" s="2" t="str">
        <f t="shared" si="14"/>
        <v>M</v>
      </c>
      <c r="D111" s="2" t="str">
        <f t="shared" si="16"/>
        <v>U12</v>
      </c>
      <c r="E111" s="2">
        <v>2008</v>
      </c>
      <c r="F111" s="2" t="str">
        <f>"Club de judo Stanislas"</f>
        <v>Club de judo Stanislas</v>
      </c>
      <c r="G111" s="2" t="str">
        <f>"-30kg"</f>
        <v>-30kg</v>
      </c>
      <c r="H111" s="2" t="str">
        <f>"0410914"</f>
        <v>0410914</v>
      </c>
      <c r="I111" s="2" t="str">
        <f t="shared" si="15"/>
        <v>QC</v>
      </c>
      <c r="J111" s="2" t="s">
        <v>166</v>
      </c>
      <c r="K111" s="2" t="str">
        <f>""</f>
        <v/>
      </c>
      <c r="L111" s="2" t="str">
        <f>""</f>
        <v/>
      </c>
      <c r="M111" s="2" t="s">
        <v>177</v>
      </c>
    </row>
    <row r="112" spans="1:13" x14ac:dyDescent="0.25">
      <c r="A112" s="2" t="str">
        <f>"Abdelmadjid"</f>
        <v>Abdelmadjid</v>
      </c>
      <c r="B112" s="2" t="str">
        <f>"Neggazi"</f>
        <v>Neggazi</v>
      </c>
      <c r="C112" s="2" t="str">
        <f t="shared" si="14"/>
        <v>M</v>
      </c>
      <c r="D112" s="2" t="str">
        <f t="shared" si="16"/>
        <v>U12</v>
      </c>
      <c r="E112" s="2">
        <v>2008</v>
      </c>
      <c r="F112" s="2" t="str">
        <f>"Club judo St-Leonard"</f>
        <v>Club judo St-Leonard</v>
      </c>
      <c r="G112" s="2" t="str">
        <f>"-33kg"</f>
        <v>-33kg</v>
      </c>
      <c r="H112" s="2" t="str">
        <f>"0213063"</f>
        <v>0213063</v>
      </c>
      <c r="I112" s="2" t="str">
        <f t="shared" si="15"/>
        <v>QC</v>
      </c>
      <c r="J112" s="2" t="s">
        <v>171</v>
      </c>
      <c r="K112" s="2" t="str">
        <f>""</f>
        <v/>
      </c>
      <c r="L112" s="2" t="str">
        <f>""</f>
        <v/>
      </c>
      <c r="M112" s="2" t="s">
        <v>177</v>
      </c>
    </row>
    <row r="113" spans="1:13" x14ac:dyDescent="0.25">
      <c r="A113" s="2" t="str">
        <f>"Nikolay"</f>
        <v>Nikolay</v>
      </c>
      <c r="B113" s="2" t="str">
        <f>"Nenkov"</f>
        <v>Nenkov</v>
      </c>
      <c r="C113" s="2" t="str">
        <f t="shared" si="14"/>
        <v>M</v>
      </c>
      <c r="D113" s="2" t="str">
        <f t="shared" si="16"/>
        <v>U12</v>
      </c>
      <c r="E113" s="2">
        <v>2009</v>
      </c>
      <c r="F113" s="2" t="str">
        <f>"Club de judo Olympique"</f>
        <v>Club de judo Olympique</v>
      </c>
      <c r="G113" s="2" t="str">
        <f>"-30kg"</f>
        <v>-30kg</v>
      </c>
      <c r="H113" s="2" t="str">
        <f>"0412299"</f>
        <v>0412299</v>
      </c>
      <c r="I113" s="2" t="str">
        <f t="shared" si="15"/>
        <v>QC</v>
      </c>
      <c r="J113" s="2" t="s">
        <v>166</v>
      </c>
      <c r="K113" s="2" t="str">
        <f>""</f>
        <v/>
      </c>
      <c r="L113" s="2" t="str">
        <f>""</f>
        <v/>
      </c>
      <c r="M113" s="2" t="s">
        <v>177</v>
      </c>
    </row>
    <row r="114" spans="1:13" x14ac:dyDescent="0.25">
      <c r="A114" s="2" t="s">
        <v>119</v>
      </c>
      <c r="B114" s="2" t="s">
        <v>120</v>
      </c>
      <c r="C114" s="2" t="s">
        <v>13</v>
      </c>
      <c r="D114" s="2" t="str">
        <f t="shared" si="16"/>
        <v>U12</v>
      </c>
      <c r="E114" s="2">
        <v>2009</v>
      </c>
      <c r="F114" s="2" t="s">
        <v>150</v>
      </c>
      <c r="G114" s="2" t="str">
        <f>"-36kg"</f>
        <v>-36kg</v>
      </c>
      <c r="H114" s="2">
        <v>221795</v>
      </c>
      <c r="I114" s="2" t="s">
        <v>17</v>
      </c>
      <c r="J114" s="2" t="s">
        <v>166</v>
      </c>
      <c r="K114" s="2" t="s">
        <v>10</v>
      </c>
      <c r="L114" s="2" t="s">
        <v>10</v>
      </c>
      <c r="M114" s="2" t="s">
        <v>177</v>
      </c>
    </row>
    <row r="115" spans="1:13" x14ac:dyDescent="0.25">
      <c r="A115" s="2" t="str">
        <f>"Adam"</f>
        <v>Adam</v>
      </c>
      <c r="B115" s="2" t="str">
        <f>"Ouendi"</f>
        <v>Ouendi</v>
      </c>
      <c r="C115" s="2" t="str">
        <f>"M"</f>
        <v>M</v>
      </c>
      <c r="D115" s="2" t="str">
        <f t="shared" si="16"/>
        <v>U12</v>
      </c>
      <c r="E115" s="2">
        <v>2009</v>
      </c>
      <c r="F115" s="2" t="str">
        <f>"Club de judo Torii"</f>
        <v>Club de judo Torii</v>
      </c>
      <c r="G115" s="2" t="str">
        <f>"-30kg"</f>
        <v>-30kg</v>
      </c>
      <c r="H115" s="2" t="str">
        <f>"0206666"</f>
        <v>0206666</v>
      </c>
      <c r="I115" s="2" t="str">
        <f>"QC"</f>
        <v>QC</v>
      </c>
      <c r="J115" s="2" t="s">
        <v>171</v>
      </c>
      <c r="K115" s="2" t="str">
        <f>""</f>
        <v/>
      </c>
      <c r="L115" s="2" t="str">
        <f>""</f>
        <v/>
      </c>
      <c r="M115" s="2" t="s">
        <v>177</v>
      </c>
    </row>
    <row r="116" spans="1:13" x14ac:dyDescent="0.25">
      <c r="A116" s="2" t="str">
        <f>"Emile"</f>
        <v>Emile</v>
      </c>
      <c r="B116" s="2" t="str">
        <f>"Paquet"</f>
        <v>Paquet</v>
      </c>
      <c r="C116" s="2" t="str">
        <f>"M"</f>
        <v>M</v>
      </c>
      <c r="D116" s="2" t="str">
        <f t="shared" si="16"/>
        <v>U12</v>
      </c>
      <c r="E116" s="2">
        <v>2008</v>
      </c>
      <c r="F116" s="2" t="str">
        <f>"Club de judo Albatros Inc."</f>
        <v>Club de judo Albatros Inc.</v>
      </c>
      <c r="G116" s="2" t="str">
        <f>"-30kg"</f>
        <v>-30kg</v>
      </c>
      <c r="H116" s="2" t="str">
        <f>"0215937"</f>
        <v>0215937</v>
      </c>
      <c r="I116" s="2" t="str">
        <f>"QC"</f>
        <v>QC</v>
      </c>
      <c r="J116" s="2" t="s">
        <v>171</v>
      </c>
      <c r="K116" s="2" t="str">
        <f>""</f>
        <v/>
      </c>
      <c r="L116" s="2" t="str">
        <f>""</f>
        <v/>
      </c>
      <c r="M116" s="2" t="s">
        <v>177</v>
      </c>
    </row>
    <row r="117" spans="1:13" x14ac:dyDescent="0.25">
      <c r="A117" s="2" t="str">
        <f>"Edmon"</f>
        <v>Edmon</v>
      </c>
      <c r="B117" s="2" t="str">
        <f>"Poltorac"</f>
        <v>Poltorac</v>
      </c>
      <c r="C117" s="2" t="str">
        <f>"M"</f>
        <v>M</v>
      </c>
      <c r="D117" s="2" t="str">
        <f t="shared" si="16"/>
        <v>U12</v>
      </c>
      <c r="E117" s="2">
        <v>2008</v>
      </c>
      <c r="F117" s="2" t="str">
        <f>"Challenge Sports Club"</f>
        <v>Challenge Sports Club</v>
      </c>
      <c r="G117" s="2" t="str">
        <f>"-33kg"</f>
        <v>-33kg</v>
      </c>
      <c r="H117" s="2" t="str">
        <f>"0201290"</f>
        <v>0201290</v>
      </c>
      <c r="I117" s="2" t="str">
        <f>"ON"</f>
        <v>ON</v>
      </c>
      <c r="J117" s="2" t="s">
        <v>172</v>
      </c>
      <c r="K117" s="2" t="str">
        <f>""</f>
        <v/>
      </c>
      <c r="L117" s="2" t="str">
        <f>""</f>
        <v/>
      </c>
      <c r="M117" s="2" t="s">
        <v>177</v>
      </c>
    </row>
    <row r="118" spans="1:13" x14ac:dyDescent="0.25">
      <c r="A118" s="2" t="str">
        <f>"Alon"</f>
        <v>Alon</v>
      </c>
      <c r="B118" s="2" t="str">
        <f>"Raichlin"</f>
        <v>Raichlin</v>
      </c>
      <c r="C118" s="2" t="str">
        <f>"M"</f>
        <v>M</v>
      </c>
      <c r="D118" s="2" t="str">
        <f t="shared" si="16"/>
        <v>U12</v>
      </c>
      <c r="E118" s="2">
        <v>2008</v>
      </c>
      <c r="F118" s="2" t="str">
        <f>"Ottawa Judo Club"</f>
        <v>Ottawa Judo Club</v>
      </c>
      <c r="G118" s="2" t="str">
        <f>"-36kg"</f>
        <v>-36kg</v>
      </c>
      <c r="H118" s="2" t="str">
        <f>"0250079"</f>
        <v>0250079</v>
      </c>
      <c r="I118" s="2" t="str">
        <f>"ON"</f>
        <v>ON</v>
      </c>
      <c r="J118" s="2" t="s">
        <v>172</v>
      </c>
      <c r="K118" s="2" t="str">
        <f>""</f>
        <v/>
      </c>
      <c r="L118" s="2" t="str">
        <f>""</f>
        <v/>
      </c>
      <c r="M118" s="2" t="s">
        <v>177</v>
      </c>
    </row>
    <row r="119" spans="1:13" x14ac:dyDescent="0.25">
      <c r="A119" s="2" t="s">
        <v>111</v>
      </c>
      <c r="B119" s="2" t="s">
        <v>113</v>
      </c>
      <c r="C119" s="2" t="s">
        <v>13</v>
      </c>
      <c r="D119" s="2" t="str">
        <f t="shared" si="16"/>
        <v>U12</v>
      </c>
      <c r="E119" s="2">
        <v>2008</v>
      </c>
      <c r="F119" s="2" t="s">
        <v>150</v>
      </c>
      <c r="G119" s="2" t="str">
        <f>"-38kg"</f>
        <v>-38kg</v>
      </c>
      <c r="H119" s="2">
        <v>213455</v>
      </c>
      <c r="I119" s="2" t="s">
        <v>17</v>
      </c>
      <c r="J119" s="2" t="s">
        <v>171</v>
      </c>
      <c r="K119" s="2" t="s">
        <v>10</v>
      </c>
      <c r="L119" s="2" t="s">
        <v>10</v>
      </c>
      <c r="M119" s="2" t="s">
        <v>177</v>
      </c>
    </row>
    <row r="120" spans="1:13" x14ac:dyDescent="0.25">
      <c r="A120" s="2" t="s">
        <v>111</v>
      </c>
      <c r="B120" s="2" t="s">
        <v>112</v>
      </c>
      <c r="C120" s="2" t="s">
        <v>13</v>
      </c>
      <c r="D120" s="2" t="str">
        <f t="shared" si="16"/>
        <v>U12</v>
      </c>
      <c r="E120" s="2">
        <v>2009</v>
      </c>
      <c r="F120" s="2" t="s">
        <v>150</v>
      </c>
      <c r="G120" s="2" t="str">
        <f>"-38kg"</f>
        <v>-38kg</v>
      </c>
      <c r="H120" s="2">
        <v>213456</v>
      </c>
      <c r="I120" s="2" t="s">
        <v>17</v>
      </c>
      <c r="J120" s="2" t="s">
        <v>171</v>
      </c>
      <c r="K120" s="2" t="s">
        <v>10</v>
      </c>
      <c r="L120" s="2" t="s">
        <v>10</v>
      </c>
      <c r="M120" s="2" t="s">
        <v>177</v>
      </c>
    </row>
    <row r="121" spans="1:13" x14ac:dyDescent="0.25">
      <c r="A121" s="2" t="str">
        <f>"Henri"</f>
        <v>Henri</v>
      </c>
      <c r="B121" s="2" t="str">
        <f>"Ravenelle"</f>
        <v>Ravenelle</v>
      </c>
      <c r="C121" s="2" t="str">
        <f t="shared" ref="C121:C134" si="17">"M"</f>
        <v>M</v>
      </c>
      <c r="D121" s="2" t="str">
        <f t="shared" si="16"/>
        <v>U12</v>
      </c>
      <c r="E121" s="2">
        <v>2009</v>
      </c>
      <c r="F121" s="2" t="str">
        <f>"Kiseki Judo"</f>
        <v>Kiseki Judo</v>
      </c>
      <c r="G121" s="2" t="str">
        <f>"-33kg"</f>
        <v>-33kg</v>
      </c>
      <c r="H121" s="2" t="str">
        <f>"0410477"</f>
        <v>0410477</v>
      </c>
      <c r="I121" s="2" t="str">
        <f t="shared" ref="I121:I129" si="18">"QC"</f>
        <v>QC</v>
      </c>
      <c r="J121" s="2" t="s">
        <v>171</v>
      </c>
      <c r="K121" s="2" t="str">
        <f>""</f>
        <v/>
      </c>
      <c r="L121" s="2" t="str">
        <f>""</f>
        <v/>
      </c>
      <c r="M121" s="2" t="s">
        <v>177</v>
      </c>
    </row>
    <row r="122" spans="1:13" x14ac:dyDescent="0.25">
      <c r="A122" s="2" t="str">
        <f>"Hamza"</f>
        <v>Hamza</v>
      </c>
      <c r="B122" s="2" t="str">
        <f>"Reffad"</f>
        <v>Reffad</v>
      </c>
      <c r="C122" s="2" t="str">
        <f t="shared" si="17"/>
        <v>M</v>
      </c>
      <c r="D122" s="2" t="str">
        <f t="shared" si="16"/>
        <v>U12</v>
      </c>
      <c r="E122" s="2">
        <v>2008</v>
      </c>
      <c r="F122" s="2" t="str">
        <f>"Club judo St-Leonard"</f>
        <v>Club judo St-Leonard</v>
      </c>
      <c r="G122" s="2" t="str">
        <f>"-33kg"</f>
        <v>-33kg</v>
      </c>
      <c r="H122" s="2" t="str">
        <f>"0200853"</f>
        <v>0200853</v>
      </c>
      <c r="I122" s="2" t="str">
        <f t="shared" si="18"/>
        <v>QC</v>
      </c>
      <c r="J122" s="2" t="s">
        <v>166</v>
      </c>
      <c r="K122" s="2" t="str">
        <f>""</f>
        <v/>
      </c>
      <c r="L122" s="2" t="str">
        <f>""</f>
        <v/>
      </c>
      <c r="M122" s="2" t="s">
        <v>177</v>
      </c>
    </row>
    <row r="123" spans="1:13" x14ac:dyDescent="0.25">
      <c r="A123" s="2" t="str">
        <f>"Cedric"</f>
        <v>Cedric</v>
      </c>
      <c r="B123" s="2" t="str">
        <f>"Richard"</f>
        <v>Richard</v>
      </c>
      <c r="C123" s="2" t="str">
        <f t="shared" si="17"/>
        <v>M</v>
      </c>
      <c r="D123" s="2" t="str">
        <f t="shared" si="16"/>
        <v>U12</v>
      </c>
      <c r="E123" s="2">
        <v>2008</v>
      </c>
      <c r="F123" s="2" t="str">
        <f>"Bushidokan"</f>
        <v>Bushidokan</v>
      </c>
      <c r="G123" s="2" t="str">
        <f>"-45kg"</f>
        <v>-45kg</v>
      </c>
      <c r="H123" s="2" t="str">
        <f>"0200930"</f>
        <v>0200930</v>
      </c>
      <c r="I123" s="2" t="str">
        <f t="shared" si="18"/>
        <v>QC</v>
      </c>
      <c r="J123" s="2" t="s">
        <v>171</v>
      </c>
      <c r="K123" s="2" t="str">
        <f>""</f>
        <v/>
      </c>
      <c r="L123" s="2" t="str">
        <f>""</f>
        <v/>
      </c>
      <c r="M123" s="2" t="s">
        <v>177</v>
      </c>
    </row>
    <row r="124" spans="1:13" x14ac:dyDescent="0.25">
      <c r="A124" s="2" t="str">
        <f>"Alexandre"</f>
        <v>Alexandre</v>
      </c>
      <c r="B124" s="2" t="str">
        <f>"Rioux"</f>
        <v>Rioux</v>
      </c>
      <c r="C124" s="2" t="str">
        <f t="shared" si="17"/>
        <v>M</v>
      </c>
      <c r="D124" s="2" t="str">
        <f t="shared" si="16"/>
        <v>U12</v>
      </c>
      <c r="E124" s="2">
        <v>2008</v>
      </c>
      <c r="F124" s="2" t="str">
        <f>"Club Judo Ben Inc."</f>
        <v>Club Judo Ben Inc.</v>
      </c>
      <c r="G124" s="2" t="str">
        <f>"-33kg"</f>
        <v>-33kg</v>
      </c>
      <c r="H124" s="2" t="str">
        <f>"0222240"</f>
        <v>0222240</v>
      </c>
      <c r="I124" s="2" t="str">
        <f t="shared" si="18"/>
        <v>QC</v>
      </c>
      <c r="J124" s="2" t="s">
        <v>172</v>
      </c>
      <c r="K124" s="2" t="str">
        <f>""</f>
        <v/>
      </c>
      <c r="L124" s="2" t="str">
        <f>""</f>
        <v/>
      </c>
      <c r="M124" s="2" t="s">
        <v>177</v>
      </c>
    </row>
    <row r="125" spans="1:13" x14ac:dyDescent="0.25">
      <c r="A125" s="2" t="str">
        <f>"Noah"</f>
        <v>Noah</v>
      </c>
      <c r="B125" s="2" t="str">
        <f>"Routhier"</f>
        <v>Routhier</v>
      </c>
      <c r="C125" s="2" t="str">
        <f t="shared" si="17"/>
        <v>M</v>
      </c>
      <c r="D125" s="2" t="str">
        <f t="shared" si="16"/>
        <v>U12</v>
      </c>
      <c r="E125" s="2">
        <v>2008</v>
      </c>
      <c r="F125" s="2" t="str">
        <f>"Judo Cookshire"</f>
        <v>Judo Cookshire</v>
      </c>
      <c r="G125" s="2" t="str">
        <f>"-36kg"</f>
        <v>-36kg</v>
      </c>
      <c r="H125" s="2" t="str">
        <f>"0215924"</f>
        <v>0215924</v>
      </c>
      <c r="I125" s="2" t="str">
        <f t="shared" si="18"/>
        <v>QC</v>
      </c>
      <c r="J125" s="2" t="s">
        <v>166</v>
      </c>
      <c r="K125" s="2" t="str">
        <f>""</f>
        <v/>
      </c>
      <c r="L125" s="2" t="str">
        <f>""</f>
        <v/>
      </c>
      <c r="M125" s="2" t="s">
        <v>177</v>
      </c>
    </row>
    <row r="126" spans="1:13" x14ac:dyDescent="0.25">
      <c r="A126" s="2" t="str">
        <f>"Yanis"</f>
        <v>Yanis</v>
      </c>
      <c r="B126" s="2" t="str">
        <f>"Siammour"</f>
        <v>Siammour</v>
      </c>
      <c r="C126" s="2" t="str">
        <f t="shared" si="17"/>
        <v>M</v>
      </c>
      <c r="D126" s="2" t="str">
        <f t="shared" si="16"/>
        <v>U12</v>
      </c>
      <c r="E126" s="2">
        <v>2008</v>
      </c>
      <c r="F126" s="2" t="str">
        <f>"Club de judo Torii"</f>
        <v>Club de judo Torii</v>
      </c>
      <c r="G126" s="2" t="str">
        <f>"-49kg"</f>
        <v>-49kg</v>
      </c>
      <c r="H126" s="2" t="str">
        <f>"0197947"</f>
        <v>0197947</v>
      </c>
      <c r="I126" s="2" t="str">
        <f t="shared" si="18"/>
        <v>QC</v>
      </c>
      <c r="J126" s="2" t="s">
        <v>166</v>
      </c>
      <c r="K126" s="2" t="str">
        <f>""</f>
        <v/>
      </c>
      <c r="L126" s="2" t="str">
        <f>""</f>
        <v/>
      </c>
      <c r="M126" s="2" t="s">
        <v>177</v>
      </c>
    </row>
    <row r="127" spans="1:13" x14ac:dyDescent="0.25">
      <c r="A127" s="2" t="str">
        <f>"Gabriel"</f>
        <v>Gabriel</v>
      </c>
      <c r="B127" s="2" t="str">
        <f>"Simard"</f>
        <v>Simard</v>
      </c>
      <c r="C127" s="2" t="str">
        <f t="shared" si="17"/>
        <v>M</v>
      </c>
      <c r="D127" s="2" t="str">
        <f t="shared" si="16"/>
        <v>U12</v>
      </c>
      <c r="E127" s="2">
        <v>2009</v>
      </c>
      <c r="F127" s="2" t="str">
        <f>"Club de judo Multikyo"</f>
        <v>Club de judo Multikyo</v>
      </c>
      <c r="G127" s="2" t="str">
        <f>"-36kg"</f>
        <v>-36kg</v>
      </c>
      <c r="H127" s="2" t="str">
        <f>"0212523"</f>
        <v>0212523</v>
      </c>
      <c r="I127" s="2" t="str">
        <f t="shared" si="18"/>
        <v>QC</v>
      </c>
      <c r="J127" s="2" t="s">
        <v>166</v>
      </c>
      <c r="K127" s="2" t="str">
        <f>""</f>
        <v/>
      </c>
      <c r="L127" s="2" t="str">
        <f>""</f>
        <v/>
      </c>
      <c r="M127" s="2" t="s">
        <v>177</v>
      </c>
    </row>
    <row r="128" spans="1:13" x14ac:dyDescent="0.25">
      <c r="A128" s="2" t="str">
        <f>"Henri"</f>
        <v>Henri</v>
      </c>
      <c r="B128" s="2" t="str">
        <f>"Smith"</f>
        <v>Smith</v>
      </c>
      <c r="C128" s="2" t="str">
        <f t="shared" si="17"/>
        <v>M</v>
      </c>
      <c r="D128" s="2" t="str">
        <f t="shared" si="16"/>
        <v>U12</v>
      </c>
      <c r="E128" s="2">
        <v>2008</v>
      </c>
      <c r="F128" s="2" t="str">
        <f>"Club de judo de la vieille capitale"</f>
        <v>Club de judo de la vieille capitale</v>
      </c>
      <c r="G128" s="2" t="str">
        <f>"-55kg"</f>
        <v>-55kg</v>
      </c>
      <c r="H128" s="2" t="str">
        <f>"0232989"</f>
        <v>0232989</v>
      </c>
      <c r="I128" s="2" t="str">
        <f t="shared" si="18"/>
        <v>QC</v>
      </c>
      <c r="J128" s="2" t="s">
        <v>172</v>
      </c>
      <c r="K128" s="2" t="str">
        <f>""</f>
        <v/>
      </c>
      <c r="L128" s="2" t="str">
        <f>""</f>
        <v/>
      </c>
      <c r="M128" s="2" t="s">
        <v>177</v>
      </c>
    </row>
    <row r="129" spans="1:13" x14ac:dyDescent="0.25">
      <c r="A129" s="2" t="str">
        <f>"Yegor"</f>
        <v>Yegor</v>
      </c>
      <c r="B129" s="2" t="str">
        <f>"Sprydonov"</f>
        <v>Sprydonov</v>
      </c>
      <c r="C129" s="2" t="str">
        <f t="shared" si="17"/>
        <v>M</v>
      </c>
      <c r="D129" s="2" t="str">
        <f t="shared" si="16"/>
        <v>U12</v>
      </c>
      <c r="E129" s="2">
        <v>2008</v>
      </c>
      <c r="F129" s="2" t="str">
        <f>"Sport Centre Ippon"</f>
        <v>Sport Centre Ippon</v>
      </c>
      <c r="G129" s="2" t="str">
        <f>"-39kg"</f>
        <v>-39kg</v>
      </c>
      <c r="H129" s="2" t="str">
        <f>"0234900"</f>
        <v>0234900</v>
      </c>
      <c r="I129" s="2" t="str">
        <f t="shared" si="18"/>
        <v>QC</v>
      </c>
      <c r="J129" s="2" t="s">
        <v>171</v>
      </c>
      <c r="K129" s="2" t="str">
        <f>""</f>
        <v/>
      </c>
      <c r="L129" s="2" t="str">
        <f>""</f>
        <v/>
      </c>
      <c r="M129" s="2" t="s">
        <v>177</v>
      </c>
    </row>
    <row r="130" spans="1:13" x14ac:dyDescent="0.25">
      <c r="A130" s="2" t="str">
        <f>"Taisei"</f>
        <v>Taisei</v>
      </c>
      <c r="B130" s="2" t="str">
        <f>"Tan"</f>
        <v>Tan</v>
      </c>
      <c r="C130" s="2" t="str">
        <f t="shared" si="17"/>
        <v>M</v>
      </c>
      <c r="D130" s="2" t="str">
        <f t="shared" ref="D130:D136" si="19">"U12"</f>
        <v>U12</v>
      </c>
      <c r="E130" s="2">
        <v>2008</v>
      </c>
      <c r="F130" s="2" t="str">
        <f>"Takahashi Dojo"</f>
        <v>Takahashi Dojo</v>
      </c>
      <c r="G130" s="2" t="str">
        <f>"-33kg"</f>
        <v>-33kg</v>
      </c>
      <c r="H130" s="2" t="str">
        <f>"AutreFederation"</f>
        <v>AutreFederation</v>
      </c>
      <c r="I130" s="2" t="str">
        <f>"ON"</f>
        <v>ON</v>
      </c>
      <c r="J130" s="2" t="s">
        <v>171</v>
      </c>
      <c r="K130" s="2" t="str">
        <f>""</f>
        <v/>
      </c>
      <c r="L130" s="2" t="str">
        <f>""</f>
        <v/>
      </c>
      <c r="M130" s="2" t="s">
        <v>177</v>
      </c>
    </row>
    <row r="131" spans="1:13" x14ac:dyDescent="0.25">
      <c r="A131" s="2" t="str">
        <f>"Edouard"</f>
        <v>Edouard</v>
      </c>
      <c r="B131" s="2" t="str">
        <f>"Vallee"</f>
        <v>Vallee</v>
      </c>
      <c r="C131" s="2" t="str">
        <f t="shared" si="17"/>
        <v>M</v>
      </c>
      <c r="D131" s="2" t="str">
        <f t="shared" si="19"/>
        <v>U12</v>
      </c>
      <c r="E131" s="2">
        <v>2008</v>
      </c>
      <c r="F131" s="2" t="str">
        <f>"Club de judo Métropolitain inc."</f>
        <v>Club de judo Métropolitain inc.</v>
      </c>
      <c r="G131" s="2" t="str">
        <f>"-27kg"</f>
        <v>-27kg</v>
      </c>
      <c r="H131" s="2" t="str">
        <f>"0233407"</f>
        <v>0233407</v>
      </c>
      <c r="I131" s="2" t="str">
        <f>"QC"</f>
        <v>QC</v>
      </c>
      <c r="J131" s="2" t="s">
        <v>165</v>
      </c>
      <c r="K131" s="2" t="str">
        <f>""</f>
        <v/>
      </c>
      <c r="L131" s="2" t="str">
        <f>""</f>
        <v/>
      </c>
      <c r="M131" s="2" t="s">
        <v>177</v>
      </c>
    </row>
    <row r="132" spans="1:13" x14ac:dyDescent="0.25">
      <c r="A132" s="2" t="str">
        <f>"Mathis"</f>
        <v>Mathis</v>
      </c>
      <c r="B132" s="2" t="str">
        <f>"Viard-Gedeon"</f>
        <v>Viard-Gedeon</v>
      </c>
      <c r="C132" s="2" t="str">
        <f t="shared" si="17"/>
        <v>M</v>
      </c>
      <c r="D132" s="2" t="str">
        <f t="shared" si="19"/>
        <v>U12</v>
      </c>
      <c r="E132" s="2">
        <v>2009</v>
      </c>
      <c r="F132" s="2" t="str">
        <f>"Judo Phénix - Collège Charlemagne"</f>
        <v>Judo Phénix - Collège Charlemagne</v>
      </c>
      <c r="G132" s="2" t="str">
        <f>"-30kg"</f>
        <v>-30kg</v>
      </c>
      <c r="H132" s="2" t="str">
        <f>"0238807"</f>
        <v>0238807</v>
      </c>
      <c r="I132" s="2" t="str">
        <f>"QC"</f>
        <v>QC</v>
      </c>
      <c r="J132" s="2" t="s">
        <v>166</v>
      </c>
      <c r="K132" s="2" t="str">
        <f>""</f>
        <v/>
      </c>
      <c r="L132" s="2" t="str">
        <f>""</f>
        <v/>
      </c>
      <c r="M132" s="2" t="s">
        <v>177</v>
      </c>
    </row>
    <row r="133" spans="1:13" x14ac:dyDescent="0.25">
      <c r="A133" s="2" t="str">
        <f>"Clarens Charlo"</f>
        <v>Clarens Charlo</v>
      </c>
      <c r="B133" s="2" t="str">
        <f>"Vincent"</f>
        <v>Vincent</v>
      </c>
      <c r="C133" s="2" t="str">
        <f t="shared" si="17"/>
        <v>M</v>
      </c>
      <c r="D133" s="2" t="str">
        <f t="shared" si="19"/>
        <v>U12</v>
      </c>
      <c r="E133" s="2">
        <v>2009</v>
      </c>
      <c r="F133" s="2" t="str">
        <f>"Kiseki Judo"</f>
        <v>Kiseki Judo</v>
      </c>
      <c r="G133" s="2" t="str">
        <f>"+55kg"</f>
        <v>+55kg</v>
      </c>
      <c r="H133" s="2" t="str">
        <f>"0413110"</f>
        <v>0413110</v>
      </c>
      <c r="I133" s="2" t="str">
        <f>"QC"</f>
        <v>QC</v>
      </c>
      <c r="J133" s="2" t="s">
        <v>165</v>
      </c>
      <c r="K133" s="2" t="str">
        <f>""</f>
        <v/>
      </c>
      <c r="L133" s="2" t="str">
        <f>""</f>
        <v/>
      </c>
      <c r="M133" s="2" t="s">
        <v>177</v>
      </c>
    </row>
    <row r="134" spans="1:13" x14ac:dyDescent="0.25">
      <c r="A134" s="2" t="str">
        <f>"Youcef"</f>
        <v>Youcef</v>
      </c>
      <c r="B134" s="2" t="str">
        <f>"Wahba"</f>
        <v>Wahba</v>
      </c>
      <c r="C134" s="2" t="str">
        <f t="shared" si="17"/>
        <v>M</v>
      </c>
      <c r="D134" s="2" t="str">
        <f t="shared" si="19"/>
        <v>U12</v>
      </c>
      <c r="E134" s="2">
        <v>2009</v>
      </c>
      <c r="F134" s="2" t="str">
        <f>"Club de judo Torii"</f>
        <v>Club de judo Torii</v>
      </c>
      <c r="G134" s="2" t="str">
        <f>"-45kg"</f>
        <v>-45kg</v>
      </c>
      <c r="H134" s="2" t="str">
        <f>"0205878"</f>
        <v>0205878</v>
      </c>
      <c r="I134" s="2" t="str">
        <f>"QC"</f>
        <v>QC</v>
      </c>
      <c r="J134" s="2" t="s">
        <v>166</v>
      </c>
      <c r="K134" s="2" t="str">
        <f>""</f>
        <v/>
      </c>
      <c r="L134" s="2" t="str">
        <f>""</f>
        <v/>
      </c>
      <c r="M134" s="2" t="s">
        <v>177</v>
      </c>
    </row>
    <row r="135" spans="1:13" x14ac:dyDescent="0.25">
      <c r="A135" s="2" t="s">
        <v>118</v>
      </c>
      <c r="B135" s="2" t="s">
        <v>32</v>
      </c>
      <c r="C135" s="2" t="s">
        <v>13</v>
      </c>
      <c r="D135" s="2" t="str">
        <f t="shared" si="19"/>
        <v>U12</v>
      </c>
      <c r="E135" s="2">
        <v>2009</v>
      </c>
      <c r="F135" s="2" t="s">
        <v>150</v>
      </c>
      <c r="G135" s="2" t="str">
        <f>"-46kg"</f>
        <v>-46kg</v>
      </c>
      <c r="H135" s="2">
        <v>206533</v>
      </c>
      <c r="I135" s="2" t="s">
        <v>17</v>
      </c>
      <c r="J135" s="2" t="s">
        <v>171</v>
      </c>
      <c r="K135" s="2" t="s">
        <v>10</v>
      </c>
      <c r="L135" s="2" t="s">
        <v>10</v>
      </c>
      <c r="M135" s="2" t="s">
        <v>177</v>
      </c>
    </row>
    <row r="136" spans="1:13" x14ac:dyDescent="0.25">
      <c r="A136" s="2" t="s">
        <v>123</v>
      </c>
      <c r="B136" s="2" t="s">
        <v>124</v>
      </c>
      <c r="C136" s="2" t="s">
        <v>13</v>
      </c>
      <c r="D136" s="2" t="str">
        <f t="shared" si="19"/>
        <v>U12</v>
      </c>
      <c r="E136" s="2">
        <v>2009</v>
      </c>
      <c r="F136" s="2" t="s">
        <v>150</v>
      </c>
      <c r="G136" s="2" t="str">
        <f>"-33kg"</f>
        <v>-33kg</v>
      </c>
      <c r="H136" s="2">
        <v>410899</v>
      </c>
      <c r="I136" s="2" t="s">
        <v>17</v>
      </c>
      <c r="J136" s="2" t="s">
        <v>165</v>
      </c>
      <c r="K136" s="2" t="s">
        <v>10</v>
      </c>
      <c r="L136" s="2" t="s">
        <v>10</v>
      </c>
      <c r="M136" s="2" t="s">
        <v>177</v>
      </c>
    </row>
    <row r="137" spans="1:13" x14ac:dyDescent="0.25">
      <c r="A137" s="5" t="str">
        <f>"Amy"</f>
        <v>Amy</v>
      </c>
      <c r="B137" s="5" t="str">
        <f>"Daraiche"</f>
        <v>Daraiche</v>
      </c>
      <c r="C137" s="5" t="str">
        <f t="shared" ref="C137:C152" si="20">"F"</f>
        <v>F</v>
      </c>
      <c r="D137" s="5" t="str">
        <f t="shared" ref="D137:D168" si="21">"U14"</f>
        <v>U14</v>
      </c>
      <c r="E137" s="2">
        <v>2006</v>
      </c>
      <c r="F137" s="5" t="str">
        <f>"Club de judo Torakai"</f>
        <v>Club de judo Torakai</v>
      </c>
      <c r="G137" s="5" t="str">
        <f>"+63kg"</f>
        <v>+63kg</v>
      </c>
      <c r="H137" s="5" t="str">
        <f>"0201090"</f>
        <v>0201090</v>
      </c>
      <c r="I137" s="5" t="str">
        <f t="shared" ref="I137:I148" si="22">"QC"</f>
        <v>QC</v>
      </c>
      <c r="J137" s="5" t="s">
        <v>166</v>
      </c>
      <c r="K137" s="5" t="str">
        <f>""</f>
        <v/>
      </c>
      <c r="L137" s="5" t="str">
        <f>""</f>
        <v/>
      </c>
      <c r="M137" s="5" t="s">
        <v>179</v>
      </c>
    </row>
    <row r="138" spans="1:13" x14ac:dyDescent="0.25">
      <c r="A138" s="5" t="str">
        <f>"Jeanne"</f>
        <v>Jeanne</v>
      </c>
      <c r="B138" s="5" t="str">
        <f>"Forest"</f>
        <v>Forest</v>
      </c>
      <c r="C138" s="5" t="str">
        <f t="shared" si="20"/>
        <v>F</v>
      </c>
      <c r="D138" s="5" t="str">
        <f t="shared" si="21"/>
        <v>U14</v>
      </c>
      <c r="E138" s="2">
        <v>2007</v>
      </c>
      <c r="F138" s="5" t="str">
        <f>"Kiseki Judo"</f>
        <v>Kiseki Judo</v>
      </c>
      <c r="G138" s="5" t="str">
        <f>"+63kg"</f>
        <v>+63kg</v>
      </c>
      <c r="H138" s="5" t="str">
        <f>"0410472"</f>
        <v>0410472</v>
      </c>
      <c r="I138" s="5" t="str">
        <f t="shared" si="22"/>
        <v>QC</v>
      </c>
      <c r="J138" s="5" t="s">
        <v>165</v>
      </c>
      <c r="K138" s="5" t="str">
        <f>""</f>
        <v/>
      </c>
      <c r="L138" s="5" t="str">
        <f>""</f>
        <v/>
      </c>
      <c r="M138" s="5" t="s">
        <v>179</v>
      </c>
    </row>
    <row r="139" spans="1:13" x14ac:dyDescent="0.25">
      <c r="A139" s="4" t="str">
        <f>"Angeline"</f>
        <v>Angeline</v>
      </c>
      <c r="B139" s="4" t="str">
        <f>"Simard Angeline"</f>
        <v>Simard Angeline</v>
      </c>
      <c r="C139" s="4" t="str">
        <f t="shared" si="20"/>
        <v>F</v>
      </c>
      <c r="D139" s="4" t="str">
        <f t="shared" si="21"/>
        <v>U14</v>
      </c>
      <c r="E139" s="2">
        <v>2006</v>
      </c>
      <c r="F139" s="4" t="str">
        <f>"Club de judo Sakura de Baie St-Paul"</f>
        <v>Club de judo Sakura de Baie St-Paul</v>
      </c>
      <c r="G139" s="4" t="str">
        <f>"+63kg"</f>
        <v>+63kg</v>
      </c>
      <c r="H139" s="4" t="str">
        <f>"0201656"</f>
        <v>0201656</v>
      </c>
      <c r="I139" s="4" t="str">
        <f t="shared" si="22"/>
        <v>QC</v>
      </c>
      <c r="J139" s="4" t="s">
        <v>175</v>
      </c>
      <c r="K139" s="4" t="str">
        <f>""</f>
        <v/>
      </c>
      <c r="L139" s="4" t="s">
        <v>180</v>
      </c>
      <c r="M139" s="4" t="s">
        <v>189</v>
      </c>
    </row>
    <row r="140" spans="1:13" x14ac:dyDescent="0.25">
      <c r="A140" s="1" t="str">
        <f>"Amani"</f>
        <v>Amani</v>
      </c>
      <c r="B140" s="1" t="str">
        <f>"Bouguenaya"</f>
        <v>Bouguenaya</v>
      </c>
      <c r="C140" s="1" t="str">
        <f t="shared" si="20"/>
        <v>F</v>
      </c>
      <c r="D140" s="1" t="str">
        <f t="shared" si="21"/>
        <v>U14</v>
      </c>
      <c r="E140" s="2">
        <v>2007</v>
      </c>
      <c r="F140" s="1" t="str">
        <f>"Bushidokan"</f>
        <v>Bushidokan</v>
      </c>
      <c r="G140" s="1" t="str">
        <f>"-29kg"</f>
        <v>-29kg</v>
      </c>
      <c r="H140" s="1" t="str">
        <f>"0234654"</f>
        <v>0234654</v>
      </c>
      <c r="I140" s="1" t="str">
        <f t="shared" si="22"/>
        <v>QC</v>
      </c>
      <c r="J140" s="1" t="s">
        <v>165</v>
      </c>
      <c r="K140" s="1" t="str">
        <f>""</f>
        <v/>
      </c>
      <c r="L140" s="1" t="str">
        <f>""</f>
        <v/>
      </c>
      <c r="M140" s="1" t="s">
        <v>178</v>
      </c>
    </row>
    <row r="141" spans="1:13" x14ac:dyDescent="0.25">
      <c r="A141" s="1" t="str">
        <f>"Maryloo"</f>
        <v>Maryloo</v>
      </c>
      <c r="B141" s="1" t="str">
        <f>"Hogan"</f>
        <v>Hogan</v>
      </c>
      <c r="C141" s="1" t="str">
        <f t="shared" si="20"/>
        <v>F</v>
      </c>
      <c r="D141" s="1" t="str">
        <f t="shared" si="21"/>
        <v>U14</v>
      </c>
      <c r="E141" s="2">
        <v>2007</v>
      </c>
      <c r="F141" s="1" t="str">
        <f>"Club de Judo Multisports"</f>
        <v>Club de Judo Multisports</v>
      </c>
      <c r="G141" s="1" t="str">
        <f>"-29kg"</f>
        <v>-29kg</v>
      </c>
      <c r="H141" s="1" t="str">
        <f>"0240018"</f>
        <v>0240018</v>
      </c>
      <c r="I141" s="1" t="str">
        <f t="shared" si="22"/>
        <v>QC</v>
      </c>
      <c r="J141" s="1" t="s">
        <v>165</v>
      </c>
      <c r="K141" s="1" t="str">
        <f>""</f>
        <v/>
      </c>
      <c r="L141" s="1" t="str">
        <f>""</f>
        <v/>
      </c>
      <c r="M141" s="1" t="s">
        <v>178</v>
      </c>
    </row>
    <row r="142" spans="1:13" x14ac:dyDescent="0.25">
      <c r="A142" s="1" t="str">
        <f>"Maya"</f>
        <v>Maya</v>
      </c>
      <c r="B142" s="1" t="str">
        <f>"Roy"</f>
        <v>Roy</v>
      </c>
      <c r="C142" s="1" t="str">
        <f t="shared" si="20"/>
        <v>F</v>
      </c>
      <c r="D142" s="1" t="str">
        <f t="shared" si="21"/>
        <v>U14</v>
      </c>
      <c r="E142" s="2">
        <v>2007</v>
      </c>
      <c r="F142" s="1" t="str">
        <f>"Club de Judo d'Asbestos-Danville"</f>
        <v>Club de Judo d'Asbestos-Danville</v>
      </c>
      <c r="G142" s="1" t="str">
        <f>"-29kg"</f>
        <v>-29kg</v>
      </c>
      <c r="H142" s="1" t="str">
        <f>"0182688"</f>
        <v>0182688</v>
      </c>
      <c r="I142" s="1" t="str">
        <f t="shared" si="22"/>
        <v>QC</v>
      </c>
      <c r="J142" s="1" t="s">
        <v>171</v>
      </c>
      <c r="K142" s="1" t="str">
        <f>""</f>
        <v/>
      </c>
      <c r="L142" s="1" t="str">
        <f>""</f>
        <v/>
      </c>
      <c r="M142" s="1" t="s">
        <v>178</v>
      </c>
    </row>
    <row r="143" spans="1:13" x14ac:dyDescent="0.25">
      <c r="A143" s="5" t="str">
        <f>"Valeria"</f>
        <v>Valeria</v>
      </c>
      <c r="B143" s="5" t="str">
        <f>"Kostrovets"</f>
        <v>Kostrovets</v>
      </c>
      <c r="C143" s="5" t="str">
        <f t="shared" si="20"/>
        <v>F</v>
      </c>
      <c r="D143" s="5" t="str">
        <f t="shared" si="21"/>
        <v>U14</v>
      </c>
      <c r="E143" s="2">
        <v>2007</v>
      </c>
      <c r="F143" s="5" t="str">
        <f>"Club de judo Métropolitain inc."</f>
        <v>Club de judo Métropolitain inc.</v>
      </c>
      <c r="G143" s="5" t="str">
        <f>"-32kg"</f>
        <v>-32kg</v>
      </c>
      <c r="H143" s="5" t="str">
        <f>"0412000"</f>
        <v>0412000</v>
      </c>
      <c r="I143" s="5" t="str">
        <f t="shared" si="22"/>
        <v>QC</v>
      </c>
      <c r="J143" s="5" t="s">
        <v>165</v>
      </c>
      <c r="K143" s="5" t="str">
        <f>""</f>
        <v/>
      </c>
      <c r="L143" s="5" t="str">
        <f>""</f>
        <v/>
      </c>
      <c r="M143" s="5" t="s">
        <v>184</v>
      </c>
    </row>
    <row r="144" spans="1:13" x14ac:dyDescent="0.25">
      <c r="A144" s="5" t="str">
        <f>"Amiel"</f>
        <v>Amiel</v>
      </c>
      <c r="B144" s="5" t="str">
        <f>"Reev"</f>
        <v>Reev</v>
      </c>
      <c r="C144" s="5" t="str">
        <f t="shared" si="20"/>
        <v>F</v>
      </c>
      <c r="D144" s="5" t="str">
        <f t="shared" si="21"/>
        <v>U14</v>
      </c>
      <c r="E144" s="2">
        <v>2007</v>
      </c>
      <c r="F144" s="5" t="str">
        <f>"Judo Phénix - Collège Charlemagne"</f>
        <v>Judo Phénix - Collège Charlemagne</v>
      </c>
      <c r="G144" s="5" t="str">
        <f>"-32kg"</f>
        <v>-32kg</v>
      </c>
      <c r="H144" s="5" t="str">
        <f>"0231607"</f>
        <v>0231607</v>
      </c>
      <c r="I144" s="5" t="str">
        <f t="shared" si="22"/>
        <v>QC</v>
      </c>
      <c r="J144" s="5" t="s">
        <v>172</v>
      </c>
      <c r="K144" s="5" t="str">
        <f>""</f>
        <v/>
      </c>
      <c r="L144" s="5" t="str">
        <f>""</f>
        <v/>
      </c>
      <c r="M144" s="5" t="s">
        <v>184</v>
      </c>
    </row>
    <row r="145" spans="1:13" x14ac:dyDescent="0.25">
      <c r="A145" s="4" t="str">
        <f>"Malie"</f>
        <v>Malie</v>
      </c>
      <c r="B145" s="4" t="str">
        <f>"Charbonneau"</f>
        <v>Charbonneau</v>
      </c>
      <c r="C145" s="4" t="str">
        <f t="shared" si="20"/>
        <v>F</v>
      </c>
      <c r="D145" s="4" t="str">
        <f t="shared" si="21"/>
        <v>U14</v>
      </c>
      <c r="E145" s="2">
        <v>2007</v>
      </c>
      <c r="F145" s="4" t="str">
        <f>"Club de Judo Haut-Richelieu"</f>
        <v>Club de Judo Haut-Richelieu</v>
      </c>
      <c r="G145" s="4" t="str">
        <f>"-32kg"</f>
        <v>-32kg</v>
      </c>
      <c r="H145" s="4" t="str">
        <f>"0188691"</f>
        <v>0188691</v>
      </c>
      <c r="I145" s="4" t="str">
        <f t="shared" si="22"/>
        <v>QC</v>
      </c>
      <c r="J145" s="4" t="s">
        <v>174</v>
      </c>
      <c r="K145" s="4" t="str">
        <f>""</f>
        <v/>
      </c>
      <c r="L145" s="4" t="s">
        <v>180</v>
      </c>
      <c r="M145" s="4" t="s">
        <v>190</v>
      </c>
    </row>
    <row r="146" spans="1:13" x14ac:dyDescent="0.25">
      <c r="A146" s="1" t="str">
        <f>"Liana"</f>
        <v>Liana</v>
      </c>
      <c r="B146" s="1" t="str">
        <f>"Belanger"</f>
        <v>Belanger</v>
      </c>
      <c r="C146" s="1" t="str">
        <f t="shared" si="20"/>
        <v>F</v>
      </c>
      <c r="D146" s="1" t="str">
        <f t="shared" si="21"/>
        <v>U14</v>
      </c>
      <c r="E146" s="2">
        <v>2007</v>
      </c>
      <c r="F146" s="1" t="str">
        <f>"Hontaï Dojo"</f>
        <v>Hontaï Dojo</v>
      </c>
      <c r="G146" s="1" t="str">
        <f t="shared" ref="G146:G152" si="23">"-36kg"</f>
        <v>-36kg</v>
      </c>
      <c r="H146" s="1" t="str">
        <f>"0225858"</f>
        <v>0225858</v>
      </c>
      <c r="I146" s="1" t="str">
        <f t="shared" si="22"/>
        <v>QC</v>
      </c>
      <c r="J146" s="1" t="s">
        <v>171</v>
      </c>
      <c r="K146" s="1" t="str">
        <f>""</f>
        <v/>
      </c>
      <c r="L146" s="1" t="str">
        <f>""</f>
        <v/>
      </c>
      <c r="M146" s="1" t="s">
        <v>185</v>
      </c>
    </row>
    <row r="147" spans="1:13" x14ac:dyDescent="0.25">
      <c r="A147" s="1" t="str">
        <f>"Maika"</f>
        <v>Maika</v>
      </c>
      <c r="B147" s="1" t="str">
        <f>"Bradet"</f>
        <v>Bradet</v>
      </c>
      <c r="C147" s="1" t="str">
        <f t="shared" si="20"/>
        <v>F</v>
      </c>
      <c r="D147" s="1" t="str">
        <f t="shared" si="21"/>
        <v>U14</v>
      </c>
      <c r="E147" s="2">
        <v>2007</v>
      </c>
      <c r="F147" s="1" t="str">
        <f>"Judo Ju Shin Kan Laterrière"</f>
        <v>Judo Ju Shin Kan Laterrière</v>
      </c>
      <c r="G147" s="1" t="str">
        <f t="shared" si="23"/>
        <v>-36kg</v>
      </c>
      <c r="H147" s="1" t="str">
        <f>"0204129"</f>
        <v>0204129</v>
      </c>
      <c r="I147" s="1" t="str">
        <f t="shared" si="22"/>
        <v>QC</v>
      </c>
      <c r="J147" s="1" t="s">
        <v>172</v>
      </c>
      <c r="K147" s="1" t="str">
        <f>""</f>
        <v/>
      </c>
      <c r="L147" s="1" t="str">
        <f>""</f>
        <v/>
      </c>
      <c r="M147" s="1" t="s">
        <v>185</v>
      </c>
    </row>
    <row r="148" spans="1:13" x14ac:dyDescent="0.25">
      <c r="A148" s="1" t="str">
        <f>"Anais"</f>
        <v>Anais</v>
      </c>
      <c r="B148" s="1" t="str">
        <f>"Chabni"</f>
        <v>Chabni</v>
      </c>
      <c r="C148" s="1" t="str">
        <f t="shared" si="20"/>
        <v>F</v>
      </c>
      <c r="D148" s="1" t="str">
        <f t="shared" si="21"/>
        <v>U14</v>
      </c>
      <c r="E148" s="2">
        <v>2007</v>
      </c>
      <c r="F148" s="1" t="str">
        <f>"Club de judo Torii"</f>
        <v>Club de judo Torii</v>
      </c>
      <c r="G148" s="1" t="str">
        <f t="shared" si="23"/>
        <v>-36kg</v>
      </c>
      <c r="H148" s="1" t="str">
        <f>"0224434"</f>
        <v>0224434</v>
      </c>
      <c r="I148" s="1" t="str">
        <f t="shared" si="22"/>
        <v>QC</v>
      </c>
      <c r="J148" s="1" t="s">
        <v>165</v>
      </c>
      <c r="K148" s="1" t="str">
        <f>""</f>
        <v/>
      </c>
      <c r="L148" s="1" t="str">
        <f>""</f>
        <v/>
      </c>
      <c r="M148" s="1" t="s">
        <v>185</v>
      </c>
    </row>
    <row r="149" spans="1:13" x14ac:dyDescent="0.25">
      <c r="A149" s="1" t="str">
        <f>"Isla"</f>
        <v>Isla</v>
      </c>
      <c r="B149" s="1" t="str">
        <f>"Dupuis"</f>
        <v>Dupuis</v>
      </c>
      <c r="C149" s="1" t="str">
        <f t="shared" si="20"/>
        <v>F</v>
      </c>
      <c r="D149" s="1" t="str">
        <f t="shared" si="21"/>
        <v>U14</v>
      </c>
      <c r="E149" s="2">
        <v>2007</v>
      </c>
      <c r="F149" s="1" t="str">
        <f>"Takahashi Dojo"</f>
        <v>Takahashi Dojo</v>
      </c>
      <c r="G149" s="1" t="str">
        <f t="shared" si="23"/>
        <v>-36kg</v>
      </c>
      <c r="H149" s="1" t="str">
        <f>"0215149"</f>
        <v>0215149</v>
      </c>
      <c r="I149" s="1" t="str">
        <f>"ON"</f>
        <v>ON</v>
      </c>
      <c r="J149" s="1" t="s">
        <v>171</v>
      </c>
      <c r="K149" s="1" t="str">
        <f>""</f>
        <v/>
      </c>
      <c r="L149" s="1" t="str">
        <f>""</f>
        <v/>
      </c>
      <c r="M149" s="1" t="s">
        <v>185</v>
      </c>
    </row>
    <row r="150" spans="1:13" x14ac:dyDescent="0.25">
      <c r="A150" s="1" t="str">
        <f>"Alythea"</f>
        <v>Alythea</v>
      </c>
      <c r="B150" s="1" t="str">
        <f>"Karseras"</f>
        <v>Karseras</v>
      </c>
      <c r="C150" s="1" t="str">
        <f t="shared" si="20"/>
        <v>F</v>
      </c>
      <c r="D150" s="1" t="str">
        <f t="shared" si="21"/>
        <v>U14</v>
      </c>
      <c r="E150" s="2">
        <v>2007</v>
      </c>
      <c r="F150" s="1" t="str">
        <f>"Club de Judo du Lycée Claudel Judo Club"</f>
        <v>Club de Judo du Lycée Claudel Judo Club</v>
      </c>
      <c r="G150" s="1" t="str">
        <f t="shared" si="23"/>
        <v>-36kg</v>
      </c>
      <c r="H150" s="1" t="str">
        <f>"0238457"</f>
        <v>0238457</v>
      </c>
      <c r="I150" s="1" t="str">
        <f>"ON"</f>
        <v>ON</v>
      </c>
      <c r="J150" s="1" t="s">
        <v>172</v>
      </c>
      <c r="K150" s="1" t="str">
        <f>""</f>
        <v/>
      </c>
      <c r="L150" s="1" t="str">
        <f>""</f>
        <v/>
      </c>
      <c r="M150" s="1" t="s">
        <v>185</v>
      </c>
    </row>
    <row r="151" spans="1:13" x14ac:dyDescent="0.25">
      <c r="A151" s="1" t="str">
        <f>"Maria"</f>
        <v>Maria</v>
      </c>
      <c r="B151" s="1" t="str">
        <f>"Kawerk"</f>
        <v>Kawerk</v>
      </c>
      <c r="C151" s="1" t="str">
        <f t="shared" si="20"/>
        <v>F</v>
      </c>
      <c r="D151" s="1" t="str">
        <f t="shared" si="21"/>
        <v>U14</v>
      </c>
      <c r="E151" s="2">
        <v>2007</v>
      </c>
      <c r="F151" s="1" t="str">
        <f>"Judo Phénix - Collège Charlemagne"</f>
        <v>Judo Phénix - Collège Charlemagne</v>
      </c>
      <c r="G151" s="1" t="str">
        <f t="shared" si="23"/>
        <v>-36kg</v>
      </c>
      <c r="H151" s="1" t="str">
        <f>"0231605"</f>
        <v>0231605</v>
      </c>
      <c r="I151" s="1" t="str">
        <f>"QC"</f>
        <v>QC</v>
      </c>
      <c r="J151" s="1" t="s">
        <v>172</v>
      </c>
      <c r="K151" s="1" t="str">
        <f>""</f>
        <v/>
      </c>
      <c r="L151" s="1" t="str">
        <f>""</f>
        <v/>
      </c>
      <c r="M151" s="1" t="s">
        <v>185</v>
      </c>
    </row>
    <row r="152" spans="1:13" x14ac:dyDescent="0.25">
      <c r="A152" s="1" t="str">
        <f>"Anne"</f>
        <v>Anne</v>
      </c>
      <c r="B152" s="1" t="str">
        <f>"Larochelle"</f>
        <v>Larochelle</v>
      </c>
      <c r="C152" s="1" t="str">
        <f t="shared" si="20"/>
        <v>F</v>
      </c>
      <c r="D152" s="1" t="str">
        <f t="shared" si="21"/>
        <v>U14</v>
      </c>
      <c r="E152" s="2">
        <v>2007</v>
      </c>
      <c r="F152" s="1" t="str">
        <f>"Club de judo To Haku kan inc."</f>
        <v>Club de judo To Haku kan inc.</v>
      </c>
      <c r="G152" s="1" t="str">
        <f t="shared" si="23"/>
        <v>-36kg</v>
      </c>
      <c r="H152" s="1" t="str">
        <f>"0225843"</f>
        <v>0225843</v>
      </c>
      <c r="I152" s="1" t="str">
        <f>"QC"</f>
        <v>QC</v>
      </c>
      <c r="J152" s="1" t="s">
        <v>171</v>
      </c>
      <c r="K152" s="1" t="str">
        <f>""</f>
        <v/>
      </c>
      <c r="L152" s="1" t="str">
        <f>""</f>
        <v/>
      </c>
      <c r="M152" s="1" t="s">
        <v>185</v>
      </c>
    </row>
    <row r="153" spans="1:13" x14ac:dyDescent="0.25">
      <c r="A153" s="1" t="s">
        <v>121</v>
      </c>
      <c r="B153" s="1" t="s">
        <v>122</v>
      </c>
      <c r="C153" s="1" t="s">
        <v>52</v>
      </c>
      <c r="D153" s="1" t="str">
        <f t="shared" si="21"/>
        <v>U14</v>
      </c>
      <c r="E153" s="2">
        <v>2007</v>
      </c>
      <c r="F153" s="1" t="s">
        <v>150</v>
      </c>
      <c r="G153" s="1" t="str">
        <f>"-33kg"</f>
        <v>-33kg</v>
      </c>
      <c r="H153" s="1">
        <v>223779</v>
      </c>
      <c r="I153" s="1" t="s">
        <v>17</v>
      </c>
      <c r="J153" s="1" t="s">
        <v>165</v>
      </c>
      <c r="K153" s="1" t="s">
        <v>10</v>
      </c>
      <c r="L153" s="1" t="s">
        <v>10</v>
      </c>
      <c r="M153" s="1" t="s">
        <v>185</v>
      </c>
    </row>
    <row r="154" spans="1:13" x14ac:dyDescent="0.25">
      <c r="A154" s="1" t="str">
        <f>"Sabrine"</f>
        <v>Sabrine</v>
      </c>
      <c r="B154" s="1" t="str">
        <f>"Misraoui"</f>
        <v>Misraoui</v>
      </c>
      <c r="C154" s="1" t="str">
        <f t="shared" ref="C154:C180" si="24">"F"</f>
        <v>F</v>
      </c>
      <c r="D154" s="1" t="str">
        <f t="shared" si="21"/>
        <v>U14</v>
      </c>
      <c r="E154" s="2">
        <v>2007</v>
      </c>
      <c r="F154" s="1" t="str">
        <f>"Club judo St-Leonard"</f>
        <v>Club judo St-Leonard</v>
      </c>
      <c r="G154" s="1" t="str">
        <f>"-36kg"</f>
        <v>-36kg</v>
      </c>
      <c r="H154" s="1" t="str">
        <f>"0222072"</f>
        <v>0222072</v>
      </c>
      <c r="I154" s="1" t="str">
        <f t="shared" ref="I154:I168" si="25">"QC"</f>
        <v>QC</v>
      </c>
      <c r="J154" s="1" t="s">
        <v>171</v>
      </c>
      <c r="K154" s="1" t="str">
        <f>""</f>
        <v/>
      </c>
      <c r="L154" s="1" t="str">
        <f>""</f>
        <v/>
      </c>
      <c r="M154" s="1" t="s">
        <v>185</v>
      </c>
    </row>
    <row r="155" spans="1:13" x14ac:dyDescent="0.25">
      <c r="A155" s="1" t="str">
        <f>"Anna-Eve"</f>
        <v>Anna-Eve</v>
      </c>
      <c r="B155" s="1" t="str">
        <f>"Routhier"</f>
        <v>Routhier</v>
      </c>
      <c r="C155" s="1" t="str">
        <f t="shared" si="24"/>
        <v>F</v>
      </c>
      <c r="D155" s="1" t="str">
        <f t="shared" si="21"/>
        <v>U14</v>
      </c>
      <c r="E155" s="2">
        <v>2006</v>
      </c>
      <c r="F155" s="1" t="str">
        <f>"Judo Cookshire"</f>
        <v>Judo Cookshire</v>
      </c>
      <c r="G155" s="1" t="str">
        <f>"-36kg"</f>
        <v>-36kg</v>
      </c>
      <c r="H155" s="1" t="str">
        <f>"0223579"</f>
        <v>0223579</v>
      </c>
      <c r="I155" s="1" t="str">
        <f t="shared" si="25"/>
        <v>QC</v>
      </c>
      <c r="J155" s="1" t="s">
        <v>171</v>
      </c>
      <c r="K155" s="1" t="str">
        <f>""</f>
        <v/>
      </c>
      <c r="L155" s="1" t="str">
        <f>""</f>
        <v/>
      </c>
      <c r="M155" s="1" t="s">
        <v>185</v>
      </c>
    </row>
    <row r="156" spans="1:13" x14ac:dyDescent="0.25">
      <c r="A156" s="4" t="str">
        <f>"Catherine"</f>
        <v>Catherine</v>
      </c>
      <c r="B156" s="4" t="str">
        <f>"Gauthier"</f>
        <v>Gauthier</v>
      </c>
      <c r="C156" s="4" t="str">
        <f t="shared" si="24"/>
        <v>F</v>
      </c>
      <c r="D156" s="4" t="str">
        <f t="shared" si="21"/>
        <v>U14</v>
      </c>
      <c r="E156" s="2">
        <v>2006</v>
      </c>
      <c r="F156" s="4" t="str">
        <f>"Club de judo Albatros Inc."</f>
        <v>Club de judo Albatros Inc.</v>
      </c>
      <c r="G156" s="4" t="str">
        <f>"-36kg"</f>
        <v>-36kg</v>
      </c>
      <c r="H156" s="4" t="str">
        <f>"0189836"</f>
        <v>0189836</v>
      </c>
      <c r="I156" s="4" t="str">
        <f t="shared" si="25"/>
        <v>QC</v>
      </c>
      <c r="J156" s="4" t="s">
        <v>174</v>
      </c>
      <c r="K156" s="4" t="str">
        <f>""</f>
        <v/>
      </c>
      <c r="L156" s="4" t="s">
        <v>180</v>
      </c>
      <c r="M156" s="4" t="s">
        <v>194</v>
      </c>
    </row>
    <row r="157" spans="1:13" x14ac:dyDescent="0.25">
      <c r="A157" s="5" t="str">
        <f>"Bochra"</f>
        <v>Bochra</v>
      </c>
      <c r="B157" s="5" t="str">
        <f>"Benallou"</f>
        <v>Benallou</v>
      </c>
      <c r="C157" s="5" t="str">
        <f t="shared" si="24"/>
        <v>F</v>
      </c>
      <c r="D157" s="5" t="str">
        <f t="shared" si="21"/>
        <v>U14</v>
      </c>
      <c r="E157" s="2">
        <v>2007</v>
      </c>
      <c r="F157" s="5" t="str">
        <f>"Club de judo Torii"</f>
        <v>Club de judo Torii</v>
      </c>
      <c r="G157" s="5" t="str">
        <f>"-40kg"</f>
        <v>-40kg</v>
      </c>
      <c r="H157" s="5" t="str">
        <f>"0227992"</f>
        <v>0227992</v>
      </c>
      <c r="I157" s="5" t="str">
        <f t="shared" si="25"/>
        <v>QC</v>
      </c>
      <c r="J157" s="5" t="s">
        <v>166</v>
      </c>
      <c r="K157" s="5" t="str">
        <f>""</f>
        <v/>
      </c>
      <c r="L157" s="5" t="str">
        <f>""</f>
        <v/>
      </c>
      <c r="M157" s="5" t="s">
        <v>183</v>
      </c>
    </row>
    <row r="158" spans="1:13" x14ac:dyDescent="0.25">
      <c r="A158" s="5" t="str">
        <f>"Rima"</f>
        <v>Rima</v>
      </c>
      <c r="B158" s="5" t="str">
        <f>"Bourihane"</f>
        <v>Bourihane</v>
      </c>
      <c r="C158" s="5" t="str">
        <f t="shared" si="24"/>
        <v>F</v>
      </c>
      <c r="D158" s="5" t="str">
        <f t="shared" si="21"/>
        <v>U14</v>
      </c>
      <c r="E158" s="2">
        <v>2006</v>
      </c>
      <c r="F158" s="5" t="str">
        <f>"Club judo St-Leonard"</f>
        <v>Club judo St-Leonard</v>
      </c>
      <c r="G158" s="5" t="str">
        <f>"-40kg"</f>
        <v>-40kg</v>
      </c>
      <c r="H158" s="5" t="str">
        <f>"0207727"</f>
        <v>0207727</v>
      </c>
      <c r="I158" s="5" t="str">
        <f t="shared" si="25"/>
        <v>QC</v>
      </c>
      <c r="J158" s="5" t="s">
        <v>172</v>
      </c>
      <c r="K158" s="5" t="str">
        <f>""</f>
        <v/>
      </c>
      <c r="L158" s="5" t="str">
        <f>""</f>
        <v/>
      </c>
      <c r="M158" s="5" t="s">
        <v>183</v>
      </c>
    </row>
    <row r="159" spans="1:13" x14ac:dyDescent="0.25">
      <c r="A159" s="5" t="str">
        <f>"Chloe"</f>
        <v>Chloe</v>
      </c>
      <c r="B159" s="5" t="str">
        <f>"Brunet"</f>
        <v>Brunet</v>
      </c>
      <c r="C159" s="5" t="str">
        <f t="shared" si="24"/>
        <v>F</v>
      </c>
      <c r="D159" s="5" t="str">
        <f t="shared" si="21"/>
        <v>U14</v>
      </c>
      <c r="E159" s="2">
        <v>2006</v>
      </c>
      <c r="F159" s="5" t="str">
        <f>"Club de judo Multikyo"</f>
        <v>Club de judo Multikyo</v>
      </c>
      <c r="G159" s="5" t="str">
        <f>"-40kg"</f>
        <v>-40kg</v>
      </c>
      <c r="H159" s="5" t="str">
        <f>"0238117"</f>
        <v>0238117</v>
      </c>
      <c r="I159" s="5" t="str">
        <f t="shared" si="25"/>
        <v>QC</v>
      </c>
      <c r="J159" s="5" t="s">
        <v>165</v>
      </c>
      <c r="K159" s="5" t="str">
        <f>""</f>
        <v/>
      </c>
      <c r="L159" s="5" t="str">
        <f>""</f>
        <v/>
      </c>
      <c r="M159" s="5" t="s">
        <v>183</v>
      </c>
    </row>
    <row r="160" spans="1:13" x14ac:dyDescent="0.25">
      <c r="A160" s="5" t="str">
        <f>"Juliette"</f>
        <v>Juliette</v>
      </c>
      <c r="B160" s="5" t="str">
        <f>"Tousignant"</f>
        <v>Tousignant</v>
      </c>
      <c r="C160" s="5" t="str">
        <f t="shared" si="24"/>
        <v>F</v>
      </c>
      <c r="D160" s="5" t="str">
        <f t="shared" si="21"/>
        <v>U14</v>
      </c>
      <c r="E160" s="2">
        <v>2006</v>
      </c>
      <c r="F160" s="5" t="str">
        <f>"Club de judo Métropolitain inc."</f>
        <v>Club de judo Métropolitain inc.</v>
      </c>
      <c r="G160" s="5" t="str">
        <f>"-40kg"</f>
        <v>-40kg</v>
      </c>
      <c r="H160" s="5" t="str">
        <f>"AutreFederation"</f>
        <v>AutreFederation</v>
      </c>
      <c r="I160" s="5" t="str">
        <f t="shared" si="25"/>
        <v>QC</v>
      </c>
      <c r="J160" s="5" t="s">
        <v>172</v>
      </c>
      <c r="K160" s="5" t="str">
        <f>""</f>
        <v/>
      </c>
      <c r="L160" s="5" t="str">
        <f>""</f>
        <v/>
      </c>
      <c r="M160" s="5" t="s">
        <v>183</v>
      </c>
    </row>
    <row r="161" spans="1:13" x14ac:dyDescent="0.25">
      <c r="A161" s="1" t="str">
        <f>"Neisha"</f>
        <v>Neisha</v>
      </c>
      <c r="B161" s="1" t="str">
        <f>"Casimir-Longfils"</f>
        <v>Casimir-Longfils</v>
      </c>
      <c r="C161" s="1" t="str">
        <f t="shared" si="24"/>
        <v>F</v>
      </c>
      <c r="D161" s="1" t="str">
        <f t="shared" si="21"/>
        <v>U14</v>
      </c>
      <c r="E161" s="2">
        <v>2006</v>
      </c>
      <c r="F161" s="1" t="str">
        <f>"Club de judo St-Paul l'Ermite"</f>
        <v>Club de judo St-Paul l'Ermite</v>
      </c>
      <c r="G161" s="1" t="str">
        <f>"-44kg"</f>
        <v>-44kg</v>
      </c>
      <c r="H161" s="1" t="str">
        <f>"0217799"</f>
        <v>0217799</v>
      </c>
      <c r="I161" s="1" t="str">
        <f t="shared" si="25"/>
        <v>QC</v>
      </c>
      <c r="J161" s="1" t="s">
        <v>172</v>
      </c>
      <c r="K161" s="1" t="str">
        <f>""</f>
        <v/>
      </c>
      <c r="L161" s="1" t="str">
        <f>""</f>
        <v/>
      </c>
      <c r="M161" s="1" t="s">
        <v>186</v>
      </c>
    </row>
    <row r="162" spans="1:13" x14ac:dyDescent="0.25">
      <c r="A162" s="1" t="str">
        <f>"Justine"</f>
        <v>Justine</v>
      </c>
      <c r="B162" s="1" t="str">
        <f>"Courtois"</f>
        <v>Courtois</v>
      </c>
      <c r="C162" s="1" t="str">
        <f t="shared" si="24"/>
        <v>F</v>
      </c>
      <c r="D162" s="1" t="str">
        <f t="shared" si="21"/>
        <v>U14</v>
      </c>
      <c r="E162" s="2">
        <v>2007</v>
      </c>
      <c r="F162" s="1" t="str">
        <f>"Kime-Waza  Joliette"</f>
        <v>Kime-Waza  Joliette</v>
      </c>
      <c r="G162" s="1" t="str">
        <f>"-44kg"</f>
        <v>-44kg</v>
      </c>
      <c r="H162" s="1" t="str">
        <f>"0180981"</f>
        <v>0180981</v>
      </c>
      <c r="I162" s="1" t="str">
        <f t="shared" si="25"/>
        <v>QC</v>
      </c>
      <c r="J162" s="1" t="s">
        <v>171</v>
      </c>
      <c r="K162" s="1" t="str">
        <f>""</f>
        <v/>
      </c>
      <c r="L162" s="1" t="str">
        <f>""</f>
        <v/>
      </c>
      <c r="M162" s="1" t="s">
        <v>186</v>
      </c>
    </row>
    <row r="163" spans="1:13" x14ac:dyDescent="0.25">
      <c r="A163" s="4" t="str">
        <f>"Leanne"</f>
        <v>Leanne</v>
      </c>
      <c r="B163" s="4" t="str">
        <f>"Dussault"</f>
        <v>Dussault</v>
      </c>
      <c r="C163" s="4" t="str">
        <f t="shared" si="24"/>
        <v>F</v>
      </c>
      <c r="D163" s="4" t="str">
        <f t="shared" si="21"/>
        <v>U14</v>
      </c>
      <c r="E163" s="2">
        <v>2006</v>
      </c>
      <c r="F163" s="4" t="str">
        <f>"Club de Judo d'Asbestos-Danville"</f>
        <v>Club de Judo d'Asbestos-Danville</v>
      </c>
      <c r="G163" s="4" t="str">
        <f>"-44kg"</f>
        <v>-44kg</v>
      </c>
      <c r="H163" s="4" t="str">
        <f>"0189104"</f>
        <v>0189104</v>
      </c>
      <c r="I163" s="4" t="str">
        <f t="shared" si="25"/>
        <v>QC</v>
      </c>
      <c r="J163" s="4" t="s">
        <v>174</v>
      </c>
      <c r="K163" s="4" t="str">
        <f>""</f>
        <v/>
      </c>
      <c r="L163" s="4" t="s">
        <v>180</v>
      </c>
      <c r="M163" s="4" t="s">
        <v>193</v>
      </c>
    </row>
    <row r="164" spans="1:13" x14ac:dyDescent="0.25">
      <c r="A164" s="5" t="str">
        <f>"Maria"</f>
        <v>Maria</v>
      </c>
      <c r="B164" s="5" t="str">
        <f>"Boukerrioua"</f>
        <v>Boukerrioua</v>
      </c>
      <c r="C164" s="5" t="str">
        <f t="shared" si="24"/>
        <v>F</v>
      </c>
      <c r="D164" s="5" t="str">
        <f t="shared" si="21"/>
        <v>U14</v>
      </c>
      <c r="E164" s="2">
        <v>2007</v>
      </c>
      <c r="F164" s="5" t="str">
        <f>"Club judo St-Leonard"</f>
        <v>Club judo St-Leonard</v>
      </c>
      <c r="G164" s="5" t="str">
        <f t="shared" ref="G164:G171" si="26">"-48kg"</f>
        <v>-48kg</v>
      </c>
      <c r="H164" s="5" t="str">
        <f>"0207737"</f>
        <v>0207737</v>
      </c>
      <c r="I164" s="5" t="str">
        <f t="shared" si="25"/>
        <v>QC</v>
      </c>
      <c r="J164" s="5" t="s">
        <v>171</v>
      </c>
      <c r="K164" s="5" t="str">
        <f>""</f>
        <v/>
      </c>
      <c r="L164" s="5" t="str">
        <f>""</f>
        <v/>
      </c>
      <c r="M164" s="5" t="s">
        <v>182</v>
      </c>
    </row>
    <row r="165" spans="1:13" x14ac:dyDescent="0.25">
      <c r="A165" s="5" t="str">
        <f>"Rosalie"</f>
        <v>Rosalie</v>
      </c>
      <c r="B165" s="5" t="str">
        <f>"Jean"</f>
        <v>Jean</v>
      </c>
      <c r="C165" s="5" t="str">
        <f t="shared" si="24"/>
        <v>F</v>
      </c>
      <c r="D165" s="5" t="str">
        <f t="shared" si="21"/>
        <v>U14</v>
      </c>
      <c r="E165" s="2">
        <v>2007</v>
      </c>
      <c r="F165" s="5" t="str">
        <f>"Judo Ju Shin Kan Laterrière"</f>
        <v>Judo Ju Shin Kan Laterrière</v>
      </c>
      <c r="G165" s="5" t="str">
        <f t="shared" si="26"/>
        <v>-48kg</v>
      </c>
      <c r="H165" s="5" t="str">
        <f>"0216667"</f>
        <v>0216667</v>
      </c>
      <c r="I165" s="5" t="str">
        <f t="shared" si="25"/>
        <v>QC</v>
      </c>
      <c r="J165" s="5" t="s">
        <v>172</v>
      </c>
      <c r="K165" s="5" t="str">
        <f>""</f>
        <v/>
      </c>
      <c r="L165" s="5" t="str">
        <f>""</f>
        <v/>
      </c>
      <c r="M165" s="5" t="s">
        <v>182</v>
      </c>
    </row>
    <row r="166" spans="1:13" x14ac:dyDescent="0.25">
      <c r="A166" s="5" t="str">
        <f>"Nisrine"</f>
        <v>Nisrine</v>
      </c>
      <c r="B166" s="5" t="str">
        <f>"Rabia"</f>
        <v>Rabia</v>
      </c>
      <c r="C166" s="5" t="str">
        <f t="shared" si="24"/>
        <v>F</v>
      </c>
      <c r="D166" s="5" t="str">
        <f t="shared" si="21"/>
        <v>U14</v>
      </c>
      <c r="E166" s="2">
        <v>2007</v>
      </c>
      <c r="F166" s="5" t="str">
        <f>"Club de judo Torii"</f>
        <v>Club de judo Torii</v>
      </c>
      <c r="G166" s="5" t="str">
        <f t="shared" si="26"/>
        <v>-48kg</v>
      </c>
      <c r="H166" s="5" t="str">
        <f>"0218524"</f>
        <v>0218524</v>
      </c>
      <c r="I166" s="5" t="str">
        <f t="shared" si="25"/>
        <v>QC</v>
      </c>
      <c r="J166" s="5" t="s">
        <v>172</v>
      </c>
      <c r="K166" s="5" t="str">
        <f>""</f>
        <v/>
      </c>
      <c r="L166" s="5" t="str">
        <f>""</f>
        <v/>
      </c>
      <c r="M166" s="5" t="s">
        <v>182</v>
      </c>
    </row>
    <row r="167" spans="1:13" x14ac:dyDescent="0.25">
      <c r="A167" s="5" t="str">
        <f>"Hawraa"</f>
        <v>Hawraa</v>
      </c>
      <c r="B167" s="5" t="str">
        <f>"Zerrad"</f>
        <v>Zerrad</v>
      </c>
      <c r="C167" s="5" t="str">
        <f t="shared" si="24"/>
        <v>F</v>
      </c>
      <c r="D167" s="5" t="str">
        <f t="shared" si="21"/>
        <v>U14</v>
      </c>
      <c r="E167" s="2">
        <v>2006</v>
      </c>
      <c r="F167" s="5" t="str">
        <f>"Judo Univestrie/donini"</f>
        <v>Judo Univestrie/donini</v>
      </c>
      <c r="G167" s="5" t="str">
        <f t="shared" si="26"/>
        <v>-48kg</v>
      </c>
      <c r="H167" s="5" t="str">
        <f>"0408013"</f>
        <v>0408013</v>
      </c>
      <c r="I167" s="5" t="str">
        <f t="shared" si="25"/>
        <v>QC</v>
      </c>
      <c r="J167" s="5" t="s">
        <v>171</v>
      </c>
      <c r="K167" s="5" t="str">
        <f>""</f>
        <v/>
      </c>
      <c r="L167" s="5" t="str">
        <f>""</f>
        <v/>
      </c>
      <c r="M167" s="5" t="s">
        <v>182</v>
      </c>
    </row>
    <row r="168" spans="1:13" x14ac:dyDescent="0.25">
      <c r="A168" s="7" t="str">
        <f>"Maude"</f>
        <v>Maude</v>
      </c>
      <c r="B168" s="7" t="str">
        <f>"Demers"</f>
        <v>Demers</v>
      </c>
      <c r="C168" s="7" t="str">
        <f t="shared" si="24"/>
        <v>F</v>
      </c>
      <c r="D168" s="7" t="str">
        <f t="shared" si="21"/>
        <v>U14</v>
      </c>
      <c r="E168" s="2">
        <v>2007</v>
      </c>
      <c r="F168" s="7" t="str">
        <f>"Club de judo Torakai"</f>
        <v>Club de judo Torakai</v>
      </c>
      <c r="G168" s="7" t="str">
        <f t="shared" si="26"/>
        <v>-48kg</v>
      </c>
      <c r="H168" s="7" t="str">
        <f>"0199388"</f>
        <v>0199388</v>
      </c>
      <c r="I168" s="7" t="str">
        <f t="shared" si="25"/>
        <v>QC</v>
      </c>
      <c r="J168" s="7" t="s">
        <v>174</v>
      </c>
      <c r="K168" s="7" t="str">
        <f>""</f>
        <v/>
      </c>
      <c r="L168" s="7" t="str">
        <f>""</f>
        <v/>
      </c>
      <c r="M168" s="7" t="s">
        <v>195</v>
      </c>
    </row>
    <row r="169" spans="1:13" x14ac:dyDescent="0.25">
      <c r="A169" s="7" t="str">
        <f>"Ema"</f>
        <v>Ema</v>
      </c>
      <c r="B169" s="7" t="str">
        <f>"Mylvaganam"</f>
        <v>Mylvaganam</v>
      </c>
      <c r="C169" s="7" t="str">
        <f t="shared" si="24"/>
        <v>F</v>
      </c>
      <c r="D169" s="7" t="str">
        <f t="shared" ref="D169:D200" si="27">"U14"</f>
        <v>U14</v>
      </c>
      <c r="E169" s="2">
        <v>2006</v>
      </c>
      <c r="F169" s="7" t="str">
        <f>"Club de Judo du Lycée Claudel Judo Club"</f>
        <v>Club de Judo du Lycée Claudel Judo Club</v>
      </c>
      <c r="G169" s="7" t="str">
        <f t="shared" si="26"/>
        <v>-48kg</v>
      </c>
      <c r="H169" s="7" t="str">
        <f>"0219065"</f>
        <v>0219065</v>
      </c>
      <c r="I169" s="7" t="str">
        <f>"ON"</f>
        <v>ON</v>
      </c>
      <c r="J169" s="7" t="s">
        <v>174</v>
      </c>
      <c r="K169" s="7" t="str">
        <f>""</f>
        <v/>
      </c>
      <c r="L169" s="7" t="str">
        <f>""</f>
        <v/>
      </c>
      <c r="M169" s="7" t="s">
        <v>195</v>
      </c>
    </row>
    <row r="170" spans="1:13" x14ac:dyDescent="0.25">
      <c r="A170" s="7" t="str">
        <f>"Emma"</f>
        <v>Emma</v>
      </c>
      <c r="B170" s="7" t="str">
        <f>"Proulx-Olson"</f>
        <v>Proulx-Olson</v>
      </c>
      <c r="C170" s="7" t="str">
        <f t="shared" si="24"/>
        <v>F</v>
      </c>
      <c r="D170" s="7" t="str">
        <f t="shared" si="27"/>
        <v>U14</v>
      </c>
      <c r="E170" s="2">
        <v>2007</v>
      </c>
      <c r="F170" s="7" t="str">
        <f>"Dojo Perrot Shima"</f>
        <v>Dojo Perrot Shima</v>
      </c>
      <c r="G170" s="7" t="str">
        <f t="shared" si="26"/>
        <v>-48kg</v>
      </c>
      <c r="H170" s="7" t="str">
        <f>"0184805"</f>
        <v>0184805</v>
      </c>
      <c r="I170" s="7" t="str">
        <f>"QC"</f>
        <v>QC</v>
      </c>
      <c r="J170" s="7" t="s">
        <v>163</v>
      </c>
      <c r="K170" s="7" t="str">
        <f>""</f>
        <v/>
      </c>
      <c r="L170" s="7" t="str">
        <f>""</f>
        <v/>
      </c>
      <c r="M170" s="7" t="s">
        <v>195</v>
      </c>
    </row>
    <row r="171" spans="1:13" x14ac:dyDescent="0.25">
      <c r="A171" s="7" t="str">
        <f>"Meagan"</f>
        <v>Meagan</v>
      </c>
      <c r="B171" s="7" t="str">
        <f>"Savard"</f>
        <v>Savard</v>
      </c>
      <c r="C171" s="7" t="str">
        <f t="shared" si="24"/>
        <v>F</v>
      </c>
      <c r="D171" s="7" t="str">
        <f t="shared" si="27"/>
        <v>U14</v>
      </c>
      <c r="E171" s="2">
        <v>2006</v>
      </c>
      <c r="F171" s="7" t="str">
        <f>"Club judokas Jonquière inc."</f>
        <v>Club judokas Jonquière inc.</v>
      </c>
      <c r="G171" s="7" t="str">
        <f t="shared" si="26"/>
        <v>-48kg</v>
      </c>
      <c r="H171" s="7" t="str">
        <f>"0202173"</f>
        <v>0202173</v>
      </c>
      <c r="I171" s="7" t="str">
        <f>"QC"</f>
        <v>QC</v>
      </c>
      <c r="J171" s="7" t="s">
        <v>163</v>
      </c>
      <c r="K171" s="7" t="str">
        <f>""</f>
        <v/>
      </c>
      <c r="L171" s="7" t="str">
        <f>""</f>
        <v/>
      </c>
      <c r="M171" s="7" t="s">
        <v>195</v>
      </c>
    </row>
    <row r="172" spans="1:13" x14ac:dyDescent="0.25">
      <c r="A172" s="4" t="str">
        <f>"Eli-Rose"</f>
        <v>Eli-Rose</v>
      </c>
      <c r="B172" s="4" t="str">
        <f>"Bouchard"</f>
        <v>Bouchard</v>
      </c>
      <c r="C172" s="4" t="str">
        <f t="shared" si="24"/>
        <v>F</v>
      </c>
      <c r="D172" s="4" t="str">
        <f t="shared" si="27"/>
        <v>U14</v>
      </c>
      <c r="E172" s="2">
        <v>2006</v>
      </c>
      <c r="F172" s="4" t="str">
        <f>"Club de judo Multikyo"</f>
        <v>Club de judo Multikyo</v>
      </c>
      <c r="G172" s="4" t="str">
        <f>"-52kg"</f>
        <v>-52kg</v>
      </c>
      <c r="H172" s="4" t="str">
        <f>"0199900"</f>
        <v>0199900</v>
      </c>
      <c r="I172" s="4" t="str">
        <f>"QC"</f>
        <v>QC</v>
      </c>
      <c r="J172" s="4" t="s">
        <v>172</v>
      </c>
      <c r="K172" s="4" t="str">
        <f>""</f>
        <v/>
      </c>
      <c r="L172" s="4" t="s">
        <v>180</v>
      </c>
      <c r="M172" s="4" t="s">
        <v>187</v>
      </c>
    </row>
    <row r="173" spans="1:13" x14ac:dyDescent="0.25">
      <c r="A173" s="4" t="str">
        <f>"Leelou"</f>
        <v>Leelou</v>
      </c>
      <c r="B173" s="4" t="str">
        <f>"Mallette"</f>
        <v>Mallette</v>
      </c>
      <c r="C173" s="4" t="str">
        <f t="shared" si="24"/>
        <v>F</v>
      </c>
      <c r="D173" s="4" t="str">
        <f t="shared" si="27"/>
        <v>U14</v>
      </c>
      <c r="E173" s="2">
        <v>2006</v>
      </c>
      <c r="F173" s="4" t="str">
        <f>"Club de Judo Multisports"</f>
        <v>Club de Judo Multisports</v>
      </c>
      <c r="G173" s="4" t="str">
        <f>"-52kg"</f>
        <v>-52kg</v>
      </c>
      <c r="H173" s="4" t="str">
        <f>"0215028"</f>
        <v>0215028</v>
      </c>
      <c r="I173" s="4" t="str">
        <f>"QC"</f>
        <v>QC</v>
      </c>
      <c r="J173" s="4" t="s">
        <v>174</v>
      </c>
      <c r="K173" s="4" t="str">
        <f>""</f>
        <v/>
      </c>
      <c r="L173" s="4" t="s">
        <v>180</v>
      </c>
      <c r="M173" s="4" t="s">
        <v>191</v>
      </c>
    </row>
    <row r="174" spans="1:13" x14ac:dyDescent="0.25">
      <c r="A174" s="4" t="str">
        <f>"Anavik"</f>
        <v>Anavik</v>
      </c>
      <c r="B174" s="4" t="str">
        <f>"Goulet"</f>
        <v>Goulet</v>
      </c>
      <c r="C174" s="4" t="str">
        <f t="shared" si="24"/>
        <v>F</v>
      </c>
      <c r="D174" s="4" t="str">
        <f t="shared" si="27"/>
        <v>U14</v>
      </c>
      <c r="E174" s="2">
        <v>2006</v>
      </c>
      <c r="F174" s="4" t="str">
        <f>"Takahashi Dojo"</f>
        <v>Takahashi Dojo</v>
      </c>
      <c r="G174" s="4" t="str">
        <f>"-57kg"</f>
        <v>-57kg</v>
      </c>
      <c r="H174" s="4" t="str">
        <f>"0412098"</f>
        <v>0412098</v>
      </c>
      <c r="I174" s="4" t="str">
        <f>"ON"</f>
        <v>ON</v>
      </c>
      <c r="J174" s="4" t="s">
        <v>165</v>
      </c>
      <c r="K174" s="4" t="str">
        <f>""</f>
        <v/>
      </c>
      <c r="L174" s="4" t="s">
        <v>180</v>
      </c>
      <c r="M174" s="4" t="s">
        <v>188</v>
      </c>
    </row>
    <row r="175" spans="1:13" x14ac:dyDescent="0.25">
      <c r="A175" s="6" t="str">
        <f>"Loubna"</f>
        <v>Loubna</v>
      </c>
      <c r="B175" s="6" t="str">
        <f>"Bradai"</f>
        <v>Bradai</v>
      </c>
      <c r="C175" s="6" t="str">
        <f t="shared" si="24"/>
        <v>F</v>
      </c>
      <c r="D175" s="6" t="str">
        <f t="shared" si="27"/>
        <v>U14</v>
      </c>
      <c r="E175" s="2">
        <v>2007</v>
      </c>
      <c r="F175" s="6" t="str">
        <f>"Club de judo Métropolitain inc."</f>
        <v>Club de judo Métropolitain inc.</v>
      </c>
      <c r="G175" s="6" t="str">
        <f>"-57kg"</f>
        <v>-57kg</v>
      </c>
      <c r="H175" s="6" t="str">
        <f>"0226325"</f>
        <v>0226325</v>
      </c>
      <c r="I175" s="6" t="str">
        <f t="shared" ref="I175:I181" si="28">"QC"</f>
        <v>QC</v>
      </c>
      <c r="J175" s="6" t="s">
        <v>174</v>
      </c>
      <c r="K175" s="6" t="str">
        <f>""</f>
        <v/>
      </c>
      <c r="L175" s="6" t="str">
        <f>""</f>
        <v/>
      </c>
      <c r="M175" s="6" t="s">
        <v>192</v>
      </c>
    </row>
    <row r="176" spans="1:13" x14ac:dyDescent="0.25">
      <c r="A176" s="6" t="str">
        <f>"Emy"</f>
        <v>Emy</v>
      </c>
      <c r="B176" s="6" t="str">
        <f>"Haineault"</f>
        <v>Haineault</v>
      </c>
      <c r="C176" s="6" t="str">
        <f t="shared" si="24"/>
        <v>F</v>
      </c>
      <c r="D176" s="6" t="str">
        <f t="shared" si="27"/>
        <v>U14</v>
      </c>
      <c r="E176" s="2">
        <v>2006</v>
      </c>
      <c r="F176" s="6" t="str">
        <f>"Club de Judo Boucherville inc."</f>
        <v>Club de Judo Boucherville inc.</v>
      </c>
      <c r="G176" s="6" t="str">
        <f>"-57kg"</f>
        <v>-57kg</v>
      </c>
      <c r="H176" s="6" t="str">
        <f>"0220883"</f>
        <v>0220883</v>
      </c>
      <c r="I176" s="6" t="str">
        <f t="shared" si="28"/>
        <v>QC</v>
      </c>
      <c r="J176" s="6" t="s">
        <v>174</v>
      </c>
      <c r="K176" s="6" t="str">
        <f>""</f>
        <v/>
      </c>
      <c r="L176" s="6" t="str">
        <f>""</f>
        <v/>
      </c>
      <c r="M176" s="6" t="s">
        <v>192</v>
      </c>
    </row>
    <row r="177" spans="1:13" x14ac:dyDescent="0.25">
      <c r="A177" s="6" t="str">
        <f>"Frederique"</f>
        <v>Frederique</v>
      </c>
      <c r="B177" s="6" t="str">
        <f>"Lavigne"</f>
        <v>Lavigne</v>
      </c>
      <c r="C177" s="6" t="str">
        <f t="shared" si="24"/>
        <v>F</v>
      </c>
      <c r="D177" s="6" t="str">
        <f t="shared" si="27"/>
        <v>U14</v>
      </c>
      <c r="E177" s="2">
        <v>2006</v>
      </c>
      <c r="F177" s="6" t="str">
        <f>"Club de judo Métropolitain inc."</f>
        <v>Club de judo Métropolitain inc.</v>
      </c>
      <c r="G177" s="6" t="str">
        <f>"-57kg"</f>
        <v>-57kg</v>
      </c>
      <c r="H177" s="6" t="str">
        <f>"0197620"</f>
        <v>0197620</v>
      </c>
      <c r="I177" s="6" t="str">
        <f t="shared" si="28"/>
        <v>QC</v>
      </c>
      <c r="J177" s="6" t="s">
        <v>174</v>
      </c>
      <c r="K177" s="6" t="str">
        <f>""</f>
        <v/>
      </c>
      <c r="L177" s="6" t="str">
        <f>""</f>
        <v/>
      </c>
      <c r="M177" s="6" t="s">
        <v>192</v>
      </c>
    </row>
    <row r="178" spans="1:13" x14ac:dyDescent="0.25">
      <c r="A178" s="6" t="str">
        <f>"Kenia"</f>
        <v>Kenia</v>
      </c>
      <c r="B178" s="6" t="str">
        <f>"Vallieres"</f>
        <v>Vallieres</v>
      </c>
      <c r="C178" s="6" t="str">
        <f t="shared" si="24"/>
        <v>F</v>
      </c>
      <c r="D178" s="6" t="str">
        <f t="shared" si="27"/>
        <v>U14</v>
      </c>
      <c r="E178" s="2">
        <v>2006</v>
      </c>
      <c r="F178" s="6" t="str">
        <f>"Club de Judo Shawinigan"</f>
        <v>Club de Judo Shawinigan</v>
      </c>
      <c r="G178" s="6" t="str">
        <f>"-57kg"</f>
        <v>-57kg</v>
      </c>
      <c r="H178" s="6" t="str">
        <f>"0216740"</f>
        <v>0216740</v>
      </c>
      <c r="I178" s="6" t="str">
        <f t="shared" si="28"/>
        <v>QC</v>
      </c>
      <c r="J178" s="6" t="s">
        <v>174</v>
      </c>
      <c r="K178" s="6" t="str">
        <f>""</f>
        <v/>
      </c>
      <c r="L178" s="6" t="str">
        <f>""</f>
        <v/>
      </c>
      <c r="M178" s="6" t="s">
        <v>192</v>
      </c>
    </row>
    <row r="179" spans="1:13" x14ac:dyDescent="0.25">
      <c r="A179" s="5" t="str">
        <f>"Anabelle"</f>
        <v>Anabelle</v>
      </c>
      <c r="B179" s="5" t="str">
        <f>"Cartier"</f>
        <v>Cartier</v>
      </c>
      <c r="C179" s="5" t="str">
        <f t="shared" si="24"/>
        <v>F</v>
      </c>
      <c r="D179" s="5" t="str">
        <f t="shared" si="27"/>
        <v>U14</v>
      </c>
      <c r="E179" s="2">
        <v>2007</v>
      </c>
      <c r="F179" s="5" t="str">
        <f>"Judo Blainville"</f>
        <v>Judo Blainville</v>
      </c>
      <c r="G179" s="5" t="str">
        <f>"-63kg"</f>
        <v>-63kg</v>
      </c>
      <c r="H179" s="5" t="str">
        <f>"0214604"</f>
        <v>0214604</v>
      </c>
      <c r="I179" s="5" t="str">
        <f t="shared" si="28"/>
        <v>QC</v>
      </c>
      <c r="J179" s="5" t="s">
        <v>171</v>
      </c>
      <c r="K179" s="5" t="str">
        <f>""</f>
        <v/>
      </c>
      <c r="L179" s="5" t="str">
        <f>""</f>
        <v/>
      </c>
      <c r="M179" s="5" t="s">
        <v>181</v>
      </c>
    </row>
    <row r="180" spans="1:13" x14ac:dyDescent="0.25">
      <c r="A180" s="5" t="str">
        <f>"Alexia"</f>
        <v>Alexia</v>
      </c>
      <c r="B180" s="5" t="str">
        <f>"Frechette"</f>
        <v>Frechette</v>
      </c>
      <c r="C180" s="5" t="str">
        <f t="shared" si="24"/>
        <v>F</v>
      </c>
      <c r="D180" s="5" t="str">
        <f t="shared" si="27"/>
        <v>U14</v>
      </c>
      <c r="E180" s="2">
        <v>2007</v>
      </c>
      <c r="F180" s="5" t="str">
        <f>"Club de judo Seïkidokan inc."</f>
        <v>Club de judo Seïkidokan inc.</v>
      </c>
      <c r="G180" s="5" t="str">
        <f>"-63kg"</f>
        <v>-63kg</v>
      </c>
      <c r="H180" s="5" t="str">
        <f>"0239262"</f>
        <v>0239262</v>
      </c>
      <c r="I180" s="5" t="str">
        <f t="shared" si="28"/>
        <v>QC</v>
      </c>
      <c r="J180" s="5" t="s">
        <v>165</v>
      </c>
      <c r="K180" s="5" t="str">
        <f>""</f>
        <v/>
      </c>
      <c r="L180" s="5" t="str">
        <f>""</f>
        <v/>
      </c>
      <c r="M180" s="5" t="s">
        <v>181</v>
      </c>
    </row>
    <row r="181" spans="1:13" x14ac:dyDescent="0.25">
      <c r="A181" s="5" t="str">
        <f>"Emmanuel Paul Alex"</f>
        <v>Emmanuel Paul Alex</v>
      </c>
      <c r="B181" s="5" t="str">
        <f>"Adjahossou"</f>
        <v>Adjahossou</v>
      </c>
      <c r="C181" s="5" t="str">
        <f t="shared" ref="C181:C209" si="29">"M"</f>
        <v>M</v>
      </c>
      <c r="D181" s="5" t="str">
        <f t="shared" si="27"/>
        <v>U14</v>
      </c>
      <c r="E181" s="2">
        <v>2006</v>
      </c>
      <c r="F181" s="5" t="str">
        <f>"Club de judo Torii"</f>
        <v>Club de judo Torii</v>
      </c>
      <c r="G181" s="9" t="s">
        <v>204</v>
      </c>
      <c r="H181" s="5" t="str">
        <f>"0231390"</f>
        <v>0231390</v>
      </c>
      <c r="I181" s="5" t="str">
        <f t="shared" si="28"/>
        <v>QC</v>
      </c>
      <c r="J181" s="5" t="s">
        <v>165</v>
      </c>
      <c r="K181" s="5" t="str">
        <f>""</f>
        <v/>
      </c>
      <c r="L181" s="5" t="str">
        <f>""</f>
        <v/>
      </c>
      <c r="M181" s="5" t="s">
        <v>205</v>
      </c>
    </row>
    <row r="182" spans="1:13" x14ac:dyDescent="0.25">
      <c r="A182" s="5" t="str">
        <f>"Nikoloz"</f>
        <v>Nikoloz</v>
      </c>
      <c r="B182" s="5" t="str">
        <f>"Gogichashvili"</f>
        <v>Gogichashvili</v>
      </c>
      <c r="C182" s="5" t="str">
        <f t="shared" si="29"/>
        <v>M</v>
      </c>
      <c r="D182" s="5" t="str">
        <f t="shared" si="27"/>
        <v>U14</v>
      </c>
      <c r="E182" s="2">
        <v>2006</v>
      </c>
      <c r="F182" s="5" t="str">
        <f>"Olympic Judo Centre"</f>
        <v>Olympic Judo Centre</v>
      </c>
      <c r="G182" s="5" t="str">
        <f>"+66kg"</f>
        <v>+66kg</v>
      </c>
      <c r="H182" s="5" t="str">
        <f>"0232247"</f>
        <v>0232247</v>
      </c>
      <c r="I182" s="5" t="str">
        <f>"ON"</f>
        <v>ON</v>
      </c>
      <c r="J182" s="5" t="s">
        <v>172</v>
      </c>
      <c r="K182" s="5" t="str">
        <f>""</f>
        <v/>
      </c>
      <c r="L182" s="5"/>
      <c r="M182" s="5" t="s">
        <v>205</v>
      </c>
    </row>
    <row r="183" spans="1:13" x14ac:dyDescent="0.25">
      <c r="A183" s="5" t="str">
        <f>"Justin"</f>
        <v>Justin</v>
      </c>
      <c r="B183" s="5" t="str">
        <f>"Laporte"</f>
        <v>Laporte</v>
      </c>
      <c r="C183" s="5" t="str">
        <f t="shared" si="29"/>
        <v>M</v>
      </c>
      <c r="D183" s="5" t="str">
        <f t="shared" si="27"/>
        <v>U14</v>
      </c>
      <c r="E183" s="2">
        <v>2006</v>
      </c>
      <c r="F183" s="5" t="str">
        <f>"Kime-Waza  Joliette"</f>
        <v>Kime-Waza  Joliette</v>
      </c>
      <c r="G183" s="9" t="s">
        <v>204</v>
      </c>
      <c r="H183" s="5" t="str">
        <f>"0181590"</f>
        <v>0181590</v>
      </c>
      <c r="I183" s="5" t="str">
        <f t="shared" ref="I183:I211" si="30">"QC"</f>
        <v>QC</v>
      </c>
      <c r="J183" s="5" t="s">
        <v>171</v>
      </c>
      <c r="K183" s="5" t="str">
        <f>""</f>
        <v/>
      </c>
      <c r="L183" s="5" t="str">
        <f>""</f>
        <v/>
      </c>
      <c r="M183" s="5" t="s">
        <v>205</v>
      </c>
    </row>
    <row r="184" spans="1:13" x14ac:dyDescent="0.25">
      <c r="A184" s="7" t="str">
        <f>"Loïc-Olivier"</f>
        <v>Loïc-Olivier</v>
      </c>
      <c r="B184" s="7" t="str">
        <f>"Duhamel"</f>
        <v>Duhamel</v>
      </c>
      <c r="C184" s="7" t="str">
        <f t="shared" si="29"/>
        <v>M</v>
      </c>
      <c r="D184" s="7" t="str">
        <f t="shared" si="27"/>
        <v>U14</v>
      </c>
      <c r="E184" s="2">
        <v>2006</v>
      </c>
      <c r="F184" s="7" t="str">
        <f>"Club de judo Vallée du Richelieu"</f>
        <v>Club de judo Vallée du Richelieu</v>
      </c>
      <c r="G184" s="7" t="str">
        <f>"+66kg"</f>
        <v>+66kg</v>
      </c>
      <c r="H184" s="7" t="str">
        <f>"0177323"</f>
        <v>0177323</v>
      </c>
      <c r="I184" s="7" t="str">
        <f t="shared" si="30"/>
        <v>QC</v>
      </c>
      <c r="J184" s="7" t="s">
        <v>175</v>
      </c>
      <c r="K184" s="7" t="str">
        <f>""</f>
        <v/>
      </c>
      <c r="L184" s="7" t="str">
        <f>""</f>
        <v/>
      </c>
      <c r="M184" s="7" t="s">
        <v>196</v>
      </c>
    </row>
    <row r="185" spans="1:13" x14ac:dyDescent="0.25">
      <c r="A185" s="7" t="str">
        <f>"Henri"</f>
        <v>Henri</v>
      </c>
      <c r="B185" s="7" t="str">
        <f>"Saumure"</f>
        <v>Saumure</v>
      </c>
      <c r="C185" s="7" t="str">
        <f t="shared" si="29"/>
        <v>M</v>
      </c>
      <c r="D185" s="7" t="str">
        <f t="shared" si="27"/>
        <v>U14</v>
      </c>
      <c r="E185" s="2">
        <v>2006</v>
      </c>
      <c r="F185" s="7" t="str">
        <f>"Club de Judo Boucherville inc."</f>
        <v>Club de Judo Boucherville inc.</v>
      </c>
      <c r="G185" s="7" t="str">
        <f>"+66kg"</f>
        <v>+66kg</v>
      </c>
      <c r="H185" s="7" t="str">
        <f>"0181797"</f>
        <v>0181797</v>
      </c>
      <c r="I185" s="7" t="str">
        <f t="shared" si="30"/>
        <v>QC</v>
      </c>
      <c r="J185" s="7" t="s">
        <v>175</v>
      </c>
      <c r="K185" s="7" t="str">
        <f>""</f>
        <v/>
      </c>
      <c r="L185" s="7" t="str">
        <f>""</f>
        <v/>
      </c>
      <c r="M185" s="7" t="s">
        <v>196</v>
      </c>
    </row>
    <row r="186" spans="1:13" x14ac:dyDescent="0.25">
      <c r="A186" s="1" t="str">
        <f>"Justin"</f>
        <v>Justin</v>
      </c>
      <c r="B186" s="1" t="str">
        <f>"Bouchard"</f>
        <v>Bouchard</v>
      </c>
      <c r="C186" s="1" t="str">
        <f t="shared" si="29"/>
        <v>M</v>
      </c>
      <c r="D186" s="1" t="str">
        <f t="shared" si="27"/>
        <v>U14</v>
      </c>
      <c r="E186" s="2">
        <v>2007</v>
      </c>
      <c r="F186" s="1" t="str">
        <f>"Club de Judo Haut-Richelieu"</f>
        <v>Club de Judo Haut-Richelieu</v>
      </c>
      <c r="G186" s="1" t="str">
        <f>"-38kg"</f>
        <v>-38kg</v>
      </c>
      <c r="H186" s="1" t="str">
        <f>"0216351"</f>
        <v>0216351</v>
      </c>
      <c r="I186" s="1" t="str">
        <f t="shared" si="30"/>
        <v>QC</v>
      </c>
      <c r="J186" s="1" t="s">
        <v>171</v>
      </c>
      <c r="K186" s="1" t="str">
        <f>""</f>
        <v/>
      </c>
      <c r="L186" s="1" t="str">
        <f>""</f>
        <v/>
      </c>
      <c r="M186" s="1" t="s">
        <v>215</v>
      </c>
    </row>
    <row r="187" spans="1:13" x14ac:dyDescent="0.25">
      <c r="A187" s="1" t="str">
        <f>"Joey"</f>
        <v>Joey</v>
      </c>
      <c r="B187" s="1" t="str">
        <f>"Cote"</f>
        <v>Cote</v>
      </c>
      <c r="C187" s="1" t="str">
        <f t="shared" si="29"/>
        <v>M</v>
      </c>
      <c r="D187" s="1" t="str">
        <f t="shared" si="27"/>
        <v>U14</v>
      </c>
      <c r="E187" s="2">
        <v>2006</v>
      </c>
      <c r="F187" s="1" t="str">
        <f>"Club de judo Torakai"</f>
        <v>Club de judo Torakai</v>
      </c>
      <c r="G187" s="1" t="str">
        <f>"-31kg"</f>
        <v>-31kg</v>
      </c>
      <c r="H187" s="1" t="str">
        <f>"AutreFederation"</f>
        <v>AutreFederation</v>
      </c>
      <c r="I187" s="1" t="str">
        <f t="shared" si="30"/>
        <v>QC</v>
      </c>
      <c r="J187" s="1" t="s">
        <v>172</v>
      </c>
      <c r="K187" s="1" t="str">
        <f>""</f>
        <v/>
      </c>
      <c r="L187" s="1" t="str">
        <f>""</f>
        <v/>
      </c>
      <c r="M187" s="1" t="s">
        <v>215</v>
      </c>
    </row>
    <row r="188" spans="1:13" x14ac:dyDescent="0.25">
      <c r="A188" s="1" t="str">
        <f>"Etienne"</f>
        <v>Etienne</v>
      </c>
      <c r="B188" s="1" t="str">
        <f>"Fortin"</f>
        <v>Fortin</v>
      </c>
      <c r="C188" s="1" t="str">
        <f t="shared" si="29"/>
        <v>M</v>
      </c>
      <c r="D188" s="1" t="str">
        <f t="shared" si="27"/>
        <v>U14</v>
      </c>
      <c r="E188" s="2">
        <v>2007</v>
      </c>
      <c r="F188" s="1" t="str">
        <f>"Club de judo Albatros Inc."</f>
        <v>Club de judo Albatros Inc.</v>
      </c>
      <c r="G188" s="1" t="str">
        <f>"-31kg"</f>
        <v>-31kg</v>
      </c>
      <c r="H188" s="1" t="str">
        <f>"0225629"</f>
        <v>0225629</v>
      </c>
      <c r="I188" s="1" t="str">
        <f t="shared" si="30"/>
        <v>QC</v>
      </c>
      <c r="J188" s="1" t="s">
        <v>165</v>
      </c>
      <c r="K188" s="1" t="str">
        <f>""</f>
        <v/>
      </c>
      <c r="L188" s="1" t="str">
        <f>""</f>
        <v/>
      </c>
      <c r="M188" s="1" t="s">
        <v>215</v>
      </c>
    </row>
    <row r="189" spans="1:13" x14ac:dyDescent="0.25">
      <c r="A189" s="1" t="str">
        <f>"Samuel"</f>
        <v>Samuel</v>
      </c>
      <c r="B189" s="1" t="str">
        <f>"Lesperance"</f>
        <v>Lesperance</v>
      </c>
      <c r="C189" s="1" t="str">
        <f t="shared" si="29"/>
        <v>M</v>
      </c>
      <c r="D189" s="1" t="str">
        <f t="shared" si="27"/>
        <v>U14</v>
      </c>
      <c r="E189" s="2">
        <v>2007</v>
      </c>
      <c r="F189" s="1" t="str">
        <f>"Judo Beauce"</f>
        <v>Judo Beauce</v>
      </c>
      <c r="G189" s="1" t="str">
        <f>"-31kg"</f>
        <v>-31kg</v>
      </c>
      <c r="H189" s="1" t="str">
        <f>"0234931"</f>
        <v>0234931</v>
      </c>
      <c r="I189" s="1" t="str">
        <f t="shared" si="30"/>
        <v>QC</v>
      </c>
      <c r="J189" s="1" t="s">
        <v>172</v>
      </c>
      <c r="K189" s="1" t="str">
        <f>""</f>
        <v/>
      </c>
      <c r="L189" s="1" t="str">
        <f>""</f>
        <v/>
      </c>
      <c r="M189" s="1" t="s">
        <v>215</v>
      </c>
    </row>
    <row r="190" spans="1:13" x14ac:dyDescent="0.25">
      <c r="A190" s="1" t="str">
        <f>"Rayane Adam"</f>
        <v>Rayane Adam</v>
      </c>
      <c r="B190" s="1" t="str">
        <f>"Snani"</f>
        <v>Snani</v>
      </c>
      <c r="C190" s="1" t="str">
        <f t="shared" si="29"/>
        <v>M</v>
      </c>
      <c r="D190" s="1" t="str">
        <f t="shared" si="27"/>
        <v>U14</v>
      </c>
      <c r="E190" s="2">
        <v>2006</v>
      </c>
      <c r="F190" s="1" t="str">
        <f>"Club de judo Olympique"</f>
        <v>Club de judo Olympique</v>
      </c>
      <c r="G190" s="1" t="str">
        <f>"-31kg"</f>
        <v>-31kg</v>
      </c>
      <c r="H190" s="1" t="str">
        <f>"0200801"</f>
        <v>0200801</v>
      </c>
      <c r="I190" s="1" t="str">
        <f t="shared" si="30"/>
        <v>QC</v>
      </c>
      <c r="J190" s="1" t="s">
        <v>171</v>
      </c>
      <c r="K190" s="1" t="str">
        <f>""</f>
        <v/>
      </c>
      <c r="L190" s="1" t="str">
        <f>""</f>
        <v/>
      </c>
      <c r="M190" s="1" t="s">
        <v>215</v>
      </c>
    </row>
    <row r="191" spans="1:13" x14ac:dyDescent="0.25">
      <c r="A191" s="5" t="str">
        <f>"Antoine"</f>
        <v>Antoine</v>
      </c>
      <c r="B191" s="5" t="str">
        <f>"Brabants"</f>
        <v>Brabants</v>
      </c>
      <c r="C191" s="5" t="str">
        <f t="shared" si="29"/>
        <v>M</v>
      </c>
      <c r="D191" s="5" t="str">
        <f t="shared" si="27"/>
        <v>U14</v>
      </c>
      <c r="E191" s="2">
        <v>2007</v>
      </c>
      <c r="F191" s="5" t="str">
        <f>"Club de Judo Haut-Richelieu"</f>
        <v>Club de Judo Haut-Richelieu</v>
      </c>
      <c r="G191" s="5" t="str">
        <f>"-42kg"</f>
        <v>-42kg</v>
      </c>
      <c r="H191" s="5" t="str">
        <f>"0231736"</f>
        <v>0231736</v>
      </c>
      <c r="I191" s="5" t="str">
        <f t="shared" si="30"/>
        <v>QC</v>
      </c>
      <c r="J191" s="5" t="s">
        <v>171</v>
      </c>
      <c r="K191" s="5" t="str">
        <f>""</f>
        <v/>
      </c>
      <c r="L191" s="5" t="str">
        <f>""</f>
        <v/>
      </c>
      <c r="M191" s="5" t="s">
        <v>206</v>
      </c>
    </row>
    <row r="192" spans="1:13" x14ac:dyDescent="0.25">
      <c r="A192" s="5" t="str">
        <f>"Malcolm"</f>
        <v>Malcolm</v>
      </c>
      <c r="B192" s="5" t="str">
        <f>"Cisell"</f>
        <v>Cisell</v>
      </c>
      <c r="C192" s="5" t="str">
        <f t="shared" si="29"/>
        <v>M</v>
      </c>
      <c r="D192" s="5" t="str">
        <f t="shared" si="27"/>
        <v>U14</v>
      </c>
      <c r="E192" s="2">
        <v>2007</v>
      </c>
      <c r="F192" s="5" t="str">
        <f>"Judo Drummondville"</f>
        <v>Judo Drummondville</v>
      </c>
      <c r="G192" s="5" t="str">
        <f t="shared" ref="G192:G207" si="31">"-34kg"</f>
        <v>-34kg</v>
      </c>
      <c r="H192" s="5" t="str">
        <f>"0226638"</f>
        <v>0226638</v>
      </c>
      <c r="I192" s="5" t="str">
        <f t="shared" si="30"/>
        <v>QC</v>
      </c>
      <c r="J192" s="5" t="s">
        <v>171</v>
      </c>
      <c r="K192" s="5" t="str">
        <f>""</f>
        <v/>
      </c>
      <c r="L192" s="5" t="str">
        <f>""</f>
        <v/>
      </c>
      <c r="M192" s="5" t="s">
        <v>206</v>
      </c>
    </row>
    <row r="193" spans="1:13" x14ac:dyDescent="0.25">
      <c r="A193" s="5" t="str">
        <f>"Félix"</f>
        <v>Félix</v>
      </c>
      <c r="B193" s="5" t="str">
        <f>"Gougeon"</f>
        <v>Gougeon</v>
      </c>
      <c r="C193" s="5" t="str">
        <f t="shared" si="29"/>
        <v>M</v>
      </c>
      <c r="D193" s="5" t="str">
        <f t="shared" si="27"/>
        <v>U14</v>
      </c>
      <c r="E193" s="2">
        <v>2007</v>
      </c>
      <c r="F193" s="5" t="str">
        <f>"Club de judo Olympique"</f>
        <v>Club de judo Olympique</v>
      </c>
      <c r="G193" s="5" t="str">
        <f t="shared" si="31"/>
        <v>-34kg</v>
      </c>
      <c r="H193" s="5" t="str">
        <f>"0410445"</f>
        <v>0410445</v>
      </c>
      <c r="I193" s="5" t="str">
        <f t="shared" si="30"/>
        <v>QC</v>
      </c>
      <c r="J193" s="5" t="s">
        <v>165</v>
      </c>
      <c r="K193" s="5" t="str">
        <f>""</f>
        <v/>
      </c>
      <c r="L193" s="5" t="str">
        <f>""</f>
        <v/>
      </c>
      <c r="M193" s="5" t="s">
        <v>206</v>
      </c>
    </row>
    <row r="194" spans="1:13" x14ac:dyDescent="0.25">
      <c r="A194" s="5" t="str">
        <f>"Alexis"</f>
        <v>Alexis</v>
      </c>
      <c r="B194" s="5" t="str">
        <f>"Guillevic"</f>
        <v>Guillevic</v>
      </c>
      <c r="C194" s="5" t="str">
        <f t="shared" si="29"/>
        <v>M</v>
      </c>
      <c r="D194" s="5" t="str">
        <f t="shared" si="27"/>
        <v>U14</v>
      </c>
      <c r="E194" s="2">
        <v>2007</v>
      </c>
      <c r="F194" s="5" t="str">
        <f>"Club de judo Stanislas"</f>
        <v>Club de judo Stanislas</v>
      </c>
      <c r="G194" s="5" t="str">
        <f t="shared" si="31"/>
        <v>-34kg</v>
      </c>
      <c r="H194" s="5" t="str">
        <f>"0410913"</f>
        <v>0410913</v>
      </c>
      <c r="I194" s="5" t="str">
        <f t="shared" si="30"/>
        <v>QC</v>
      </c>
      <c r="J194" s="5" t="s">
        <v>172</v>
      </c>
      <c r="K194" s="5" t="str">
        <f>""</f>
        <v/>
      </c>
      <c r="L194" s="5" t="str">
        <f>""</f>
        <v/>
      </c>
      <c r="M194" s="5" t="s">
        <v>206</v>
      </c>
    </row>
    <row r="195" spans="1:13" x14ac:dyDescent="0.25">
      <c r="A195" s="5" t="str">
        <f>"Frederic"</f>
        <v>Frederic</v>
      </c>
      <c r="B195" s="5" t="str">
        <f>"Lachance"</f>
        <v>Lachance</v>
      </c>
      <c r="C195" s="5" t="str">
        <f t="shared" si="29"/>
        <v>M</v>
      </c>
      <c r="D195" s="5" t="str">
        <f t="shared" si="27"/>
        <v>U14</v>
      </c>
      <c r="E195" s="2">
        <v>2007</v>
      </c>
      <c r="F195" s="5" t="str">
        <f>"Club de Judo Haut-Richelieu"</f>
        <v>Club de Judo Haut-Richelieu</v>
      </c>
      <c r="G195" s="5" t="str">
        <f t="shared" si="31"/>
        <v>-34kg</v>
      </c>
      <c r="H195" s="5" t="str">
        <f>"0222616"</f>
        <v>0222616</v>
      </c>
      <c r="I195" s="5" t="str">
        <f t="shared" si="30"/>
        <v>QC</v>
      </c>
      <c r="J195" s="5" t="s">
        <v>171</v>
      </c>
      <c r="K195" s="5" t="str">
        <f>""</f>
        <v/>
      </c>
      <c r="L195" s="5" t="str">
        <f>""</f>
        <v/>
      </c>
      <c r="M195" s="5" t="s">
        <v>206</v>
      </c>
    </row>
    <row r="196" spans="1:13" x14ac:dyDescent="0.25">
      <c r="A196" s="5" t="str">
        <f>"Arthur"</f>
        <v>Arthur</v>
      </c>
      <c r="B196" s="5" t="str">
        <f>"Levesque"</f>
        <v>Levesque</v>
      </c>
      <c r="C196" s="5" t="str">
        <f t="shared" si="29"/>
        <v>M</v>
      </c>
      <c r="D196" s="5" t="str">
        <f t="shared" si="27"/>
        <v>U14</v>
      </c>
      <c r="E196" s="2">
        <v>2007</v>
      </c>
      <c r="F196" s="5" t="str">
        <f>"Bushidokan"</f>
        <v>Bushidokan</v>
      </c>
      <c r="G196" s="5" t="str">
        <f t="shared" si="31"/>
        <v>-34kg</v>
      </c>
      <c r="H196" s="5" t="str">
        <f>"0188621"</f>
        <v>0188621</v>
      </c>
      <c r="I196" s="5" t="str">
        <f t="shared" si="30"/>
        <v>QC</v>
      </c>
      <c r="J196" s="5" t="s">
        <v>172</v>
      </c>
      <c r="K196" s="5" t="str">
        <f>""</f>
        <v/>
      </c>
      <c r="L196" s="5" t="str">
        <f>""</f>
        <v/>
      </c>
      <c r="M196" s="5" t="s">
        <v>206</v>
      </c>
    </row>
    <row r="197" spans="1:13" x14ac:dyDescent="0.25">
      <c r="A197" s="5" t="str">
        <f>"Hamza"</f>
        <v>Hamza</v>
      </c>
      <c r="B197" s="5" t="str">
        <f>"Messaoudi"</f>
        <v>Messaoudi</v>
      </c>
      <c r="C197" s="5" t="str">
        <f t="shared" si="29"/>
        <v>M</v>
      </c>
      <c r="D197" s="5" t="str">
        <f t="shared" si="27"/>
        <v>U14</v>
      </c>
      <c r="E197" s="2">
        <v>2007</v>
      </c>
      <c r="F197" s="5" t="str">
        <f>"Club de judo Olympique"</f>
        <v>Club de judo Olympique</v>
      </c>
      <c r="G197" s="5" t="str">
        <f t="shared" si="31"/>
        <v>-34kg</v>
      </c>
      <c r="H197" s="5" t="str">
        <f>"0185402"</f>
        <v>0185402</v>
      </c>
      <c r="I197" s="5" t="str">
        <f t="shared" si="30"/>
        <v>QC</v>
      </c>
      <c r="J197" s="5" t="s">
        <v>172</v>
      </c>
      <c r="K197" s="5" t="str">
        <f>""</f>
        <v/>
      </c>
      <c r="L197" s="5" t="str">
        <f>""</f>
        <v/>
      </c>
      <c r="M197" s="5" t="s">
        <v>206</v>
      </c>
    </row>
    <row r="198" spans="1:13" x14ac:dyDescent="0.25">
      <c r="A198" s="5" t="str">
        <f>"Abdelrahim"</f>
        <v>Abdelrahim</v>
      </c>
      <c r="B198" s="5" t="str">
        <f>"Rezkallah"</f>
        <v>Rezkallah</v>
      </c>
      <c r="C198" s="5" t="str">
        <f t="shared" si="29"/>
        <v>M</v>
      </c>
      <c r="D198" s="5" t="str">
        <f t="shared" si="27"/>
        <v>U14</v>
      </c>
      <c r="E198" s="2">
        <v>2007</v>
      </c>
      <c r="F198" s="5" t="str">
        <f>"Bushidokan"</f>
        <v>Bushidokan</v>
      </c>
      <c r="G198" s="5" t="str">
        <f t="shared" si="31"/>
        <v>-34kg</v>
      </c>
      <c r="H198" s="5" t="str">
        <f>"0212729"</f>
        <v>0212729</v>
      </c>
      <c r="I198" s="5" t="str">
        <f t="shared" si="30"/>
        <v>QC</v>
      </c>
      <c r="J198" s="5" t="s">
        <v>172</v>
      </c>
      <c r="K198" s="5" t="str">
        <f>""</f>
        <v/>
      </c>
      <c r="L198" s="5" t="str">
        <f>""</f>
        <v/>
      </c>
      <c r="M198" s="5" t="s">
        <v>206</v>
      </c>
    </row>
    <row r="199" spans="1:13" x14ac:dyDescent="0.25">
      <c r="A199" s="5" t="str">
        <f>"Kahled"</f>
        <v>Kahled</v>
      </c>
      <c r="B199" s="5" t="str">
        <f>"Saidi"</f>
        <v>Saidi</v>
      </c>
      <c r="C199" s="5" t="str">
        <f t="shared" si="29"/>
        <v>M</v>
      </c>
      <c r="D199" s="5" t="str">
        <f t="shared" si="27"/>
        <v>U14</v>
      </c>
      <c r="E199" s="2">
        <v>2006</v>
      </c>
      <c r="F199" s="5" t="str">
        <f>"Club de judo St-Paul l'Ermite"</f>
        <v>Club de judo St-Paul l'Ermite</v>
      </c>
      <c r="G199" s="5" t="str">
        <f t="shared" si="31"/>
        <v>-34kg</v>
      </c>
      <c r="H199" s="5" t="str">
        <f>"0217807"</f>
        <v>0217807</v>
      </c>
      <c r="I199" s="5" t="str">
        <f t="shared" si="30"/>
        <v>QC</v>
      </c>
      <c r="J199" s="5" t="s">
        <v>172</v>
      </c>
      <c r="K199" s="5" t="str">
        <f>""</f>
        <v/>
      </c>
      <c r="L199" s="5" t="str">
        <f>""</f>
        <v/>
      </c>
      <c r="M199" s="5" t="s">
        <v>206</v>
      </c>
    </row>
    <row r="200" spans="1:13" x14ac:dyDescent="0.25">
      <c r="A200" s="5" t="str">
        <f>"Tommy"</f>
        <v>Tommy</v>
      </c>
      <c r="B200" s="5" t="str">
        <f>"Simoneau"</f>
        <v>Simoneau</v>
      </c>
      <c r="C200" s="5" t="str">
        <f t="shared" si="29"/>
        <v>M</v>
      </c>
      <c r="D200" s="5" t="str">
        <f t="shared" si="27"/>
        <v>U14</v>
      </c>
      <c r="E200" s="2">
        <v>2007</v>
      </c>
      <c r="F200" s="5" t="str">
        <f>"Judo Victo Inc."</f>
        <v>Judo Victo Inc.</v>
      </c>
      <c r="G200" s="5" t="str">
        <f t="shared" si="31"/>
        <v>-34kg</v>
      </c>
      <c r="H200" s="5" t="str">
        <f>"0206215"</f>
        <v>0206215</v>
      </c>
      <c r="I200" s="5" t="str">
        <f t="shared" si="30"/>
        <v>QC</v>
      </c>
      <c r="J200" s="5" t="s">
        <v>171</v>
      </c>
      <c r="K200" s="5" t="str">
        <f>""</f>
        <v/>
      </c>
      <c r="L200" s="5" t="str">
        <f>""</f>
        <v/>
      </c>
      <c r="M200" s="5" t="s">
        <v>206</v>
      </c>
    </row>
    <row r="201" spans="1:13" x14ac:dyDescent="0.25">
      <c r="A201" s="5" t="str">
        <f>"Noa"</f>
        <v>Noa</v>
      </c>
      <c r="B201" s="5" t="str">
        <f>"Verdier"</f>
        <v>Verdier</v>
      </c>
      <c r="C201" s="5" t="str">
        <f t="shared" si="29"/>
        <v>M</v>
      </c>
      <c r="D201" s="5" t="str">
        <f t="shared" ref="D201:D232" si="32">"U14"</f>
        <v>U14</v>
      </c>
      <c r="E201" s="2">
        <v>2007</v>
      </c>
      <c r="F201" s="5" t="str">
        <f>"Dojo Zenshin"</f>
        <v>Dojo Zenshin</v>
      </c>
      <c r="G201" s="5" t="str">
        <f t="shared" si="31"/>
        <v>-34kg</v>
      </c>
      <c r="H201" s="5" t="str">
        <f>"0215773"</f>
        <v>0215773</v>
      </c>
      <c r="I201" s="5" t="str">
        <f t="shared" si="30"/>
        <v>QC</v>
      </c>
      <c r="J201" s="5" t="s">
        <v>165</v>
      </c>
      <c r="K201" s="5" t="str">
        <f>""</f>
        <v/>
      </c>
      <c r="L201" s="5" t="str">
        <f>""</f>
        <v/>
      </c>
      <c r="M201" s="5" t="s">
        <v>206</v>
      </c>
    </row>
    <row r="202" spans="1:13" x14ac:dyDescent="0.25">
      <c r="A202" s="6" t="str">
        <f>"Ulysse"</f>
        <v>Ulysse</v>
      </c>
      <c r="B202" s="6" t="str">
        <f>"Boyer"</f>
        <v>Boyer</v>
      </c>
      <c r="C202" s="6" t="str">
        <f t="shared" si="29"/>
        <v>M</v>
      </c>
      <c r="D202" s="6" t="str">
        <f t="shared" si="32"/>
        <v>U14</v>
      </c>
      <c r="E202" s="2">
        <v>2006</v>
      </c>
      <c r="F202" s="6" t="str">
        <f>"Club de Judo Multisports"</f>
        <v>Club de Judo Multisports</v>
      </c>
      <c r="G202" s="6" t="str">
        <f t="shared" si="31"/>
        <v>-34kg</v>
      </c>
      <c r="H202" s="6" t="str">
        <f>"0184794"</f>
        <v>0184794</v>
      </c>
      <c r="I202" s="6" t="str">
        <f t="shared" si="30"/>
        <v>QC</v>
      </c>
      <c r="J202" s="6" t="s">
        <v>163</v>
      </c>
      <c r="K202" s="6" t="str">
        <f>""</f>
        <v/>
      </c>
      <c r="L202" s="6" t="str">
        <f>""</f>
        <v/>
      </c>
      <c r="M202" s="6" t="s">
        <v>197</v>
      </c>
    </row>
    <row r="203" spans="1:13" x14ac:dyDescent="0.25">
      <c r="A203" s="6" t="str">
        <f>"Benjamin"</f>
        <v>Benjamin</v>
      </c>
      <c r="B203" s="6" t="str">
        <f>"Francis"</f>
        <v>Francis</v>
      </c>
      <c r="C203" s="6" t="str">
        <f t="shared" si="29"/>
        <v>M</v>
      </c>
      <c r="D203" s="6" t="str">
        <f t="shared" si="32"/>
        <v>U14</v>
      </c>
      <c r="E203" s="2">
        <v>2007</v>
      </c>
      <c r="F203" s="6" t="str">
        <f>"Club de judo Torakai"</f>
        <v>Club de judo Torakai</v>
      </c>
      <c r="G203" s="6" t="str">
        <f t="shared" si="31"/>
        <v>-34kg</v>
      </c>
      <c r="H203" s="6" t="str">
        <f>"0211012"</f>
        <v>0211012</v>
      </c>
      <c r="I203" s="6" t="str">
        <f t="shared" si="30"/>
        <v>QC</v>
      </c>
      <c r="J203" s="6" t="s">
        <v>163</v>
      </c>
      <c r="K203" s="6" t="str">
        <f>""</f>
        <v/>
      </c>
      <c r="L203" s="6" t="str">
        <f>""</f>
        <v/>
      </c>
      <c r="M203" s="6" t="s">
        <v>197</v>
      </c>
    </row>
    <row r="204" spans="1:13" x14ac:dyDescent="0.25">
      <c r="A204" s="6" t="str">
        <f>"Nicolas"</f>
        <v>Nicolas</v>
      </c>
      <c r="B204" s="6" t="str">
        <f>"Gravel"</f>
        <v>Gravel</v>
      </c>
      <c r="C204" s="6" t="str">
        <f t="shared" si="29"/>
        <v>M</v>
      </c>
      <c r="D204" s="6" t="str">
        <f t="shared" si="32"/>
        <v>U14</v>
      </c>
      <c r="E204" s="2">
        <v>2006</v>
      </c>
      <c r="F204" s="6" t="str">
        <f>"Club de judo Torii"</f>
        <v>Club de judo Torii</v>
      </c>
      <c r="G204" s="6" t="str">
        <f t="shared" si="31"/>
        <v>-34kg</v>
      </c>
      <c r="H204" s="6" t="str">
        <f>"0205928"</f>
        <v>0205928</v>
      </c>
      <c r="I204" s="6" t="str">
        <f t="shared" si="30"/>
        <v>QC</v>
      </c>
      <c r="J204" s="6" t="s">
        <v>174</v>
      </c>
      <c r="K204" s="6" t="str">
        <f>""</f>
        <v/>
      </c>
      <c r="L204" s="6" t="str">
        <f>""</f>
        <v/>
      </c>
      <c r="M204" s="6" t="s">
        <v>197</v>
      </c>
    </row>
    <row r="205" spans="1:13" x14ac:dyDescent="0.25">
      <c r="A205" s="6" t="str">
        <f>"Alexandre"</f>
        <v>Alexandre</v>
      </c>
      <c r="B205" s="6" t="str">
        <f>"Langevin"</f>
        <v>Langevin</v>
      </c>
      <c r="C205" s="6" t="str">
        <f t="shared" si="29"/>
        <v>M</v>
      </c>
      <c r="D205" s="6" t="str">
        <f t="shared" si="32"/>
        <v>U14</v>
      </c>
      <c r="E205" s="2">
        <v>2007</v>
      </c>
      <c r="F205" s="6" t="str">
        <f>"Club de judo Torakai"</f>
        <v>Club de judo Torakai</v>
      </c>
      <c r="G205" s="6" t="str">
        <f t="shared" si="31"/>
        <v>-34kg</v>
      </c>
      <c r="H205" s="6" t="str">
        <f>"0217791"</f>
        <v>0217791</v>
      </c>
      <c r="I205" s="6" t="str">
        <f t="shared" si="30"/>
        <v>QC</v>
      </c>
      <c r="J205" s="6" t="s">
        <v>174</v>
      </c>
      <c r="K205" s="6" t="str">
        <f>""</f>
        <v/>
      </c>
      <c r="L205" s="6" t="str">
        <f>""</f>
        <v/>
      </c>
      <c r="M205" s="6" t="s">
        <v>197</v>
      </c>
    </row>
    <row r="206" spans="1:13" x14ac:dyDescent="0.25">
      <c r="A206" s="6" t="str">
        <f>"Olivier"</f>
        <v>Olivier</v>
      </c>
      <c r="B206" s="6" t="str">
        <f>"Maurice"</f>
        <v>Maurice</v>
      </c>
      <c r="C206" s="6" t="str">
        <f t="shared" si="29"/>
        <v>M</v>
      </c>
      <c r="D206" s="6" t="str">
        <f t="shared" si="32"/>
        <v>U14</v>
      </c>
      <c r="E206" s="2">
        <v>2006</v>
      </c>
      <c r="F206" s="6" t="str">
        <f>"Judo Blainville"</f>
        <v>Judo Blainville</v>
      </c>
      <c r="G206" s="6" t="str">
        <f t="shared" si="31"/>
        <v>-34kg</v>
      </c>
      <c r="H206" s="6" t="str">
        <f>"0183307"</f>
        <v>0183307</v>
      </c>
      <c r="I206" s="6" t="str">
        <f t="shared" si="30"/>
        <v>QC</v>
      </c>
      <c r="J206" s="6" t="s">
        <v>175</v>
      </c>
      <c r="K206" s="6" t="str">
        <f>""</f>
        <v/>
      </c>
      <c r="L206" s="6" t="str">
        <f>""</f>
        <v/>
      </c>
      <c r="M206" s="6" t="s">
        <v>197</v>
      </c>
    </row>
    <row r="207" spans="1:13" x14ac:dyDescent="0.25">
      <c r="A207" s="6" t="str">
        <f>"Edouard"</f>
        <v>Edouard</v>
      </c>
      <c r="B207" s="6" t="str">
        <f>"Scorteanu"</f>
        <v>Scorteanu</v>
      </c>
      <c r="C207" s="6" t="str">
        <f t="shared" si="29"/>
        <v>M</v>
      </c>
      <c r="D207" s="6" t="str">
        <f t="shared" si="32"/>
        <v>U14</v>
      </c>
      <c r="E207" s="2">
        <v>2007</v>
      </c>
      <c r="F207" s="6" t="str">
        <f>"Club de judo Shidokan inc."</f>
        <v>Club de judo Shidokan inc.</v>
      </c>
      <c r="G207" s="6" t="str">
        <f t="shared" si="31"/>
        <v>-34kg</v>
      </c>
      <c r="H207" s="6" t="str">
        <f>"0179920"</f>
        <v>0179920</v>
      </c>
      <c r="I207" s="6" t="str">
        <f t="shared" si="30"/>
        <v>QC</v>
      </c>
      <c r="J207" s="6" t="s">
        <v>174</v>
      </c>
      <c r="K207" s="6" t="str">
        <f>""</f>
        <v/>
      </c>
      <c r="L207" s="6" t="str">
        <f>""</f>
        <v/>
      </c>
      <c r="M207" s="6" t="s">
        <v>197</v>
      </c>
    </row>
    <row r="208" spans="1:13" x14ac:dyDescent="0.25">
      <c r="A208" s="1" t="str">
        <f>"Mehdi"</f>
        <v>Mehdi</v>
      </c>
      <c r="B208" s="1" t="str">
        <f>"Abane"</f>
        <v>Abane</v>
      </c>
      <c r="C208" s="1" t="str">
        <f t="shared" si="29"/>
        <v>M</v>
      </c>
      <c r="D208" s="1" t="str">
        <f t="shared" si="32"/>
        <v>U14</v>
      </c>
      <c r="E208" s="2">
        <v>2006</v>
      </c>
      <c r="F208" s="1" t="str">
        <f>"Club de judo Torii"</f>
        <v>Club de judo Torii</v>
      </c>
      <c r="G208" s="1" t="str">
        <f>"-38kg"</f>
        <v>-38kg</v>
      </c>
      <c r="H208" s="1" t="str">
        <f>"AutreFederation"</f>
        <v>AutreFederation</v>
      </c>
      <c r="I208" s="1" t="str">
        <f t="shared" si="30"/>
        <v>QC</v>
      </c>
      <c r="J208" s="1" t="s">
        <v>172</v>
      </c>
      <c r="K208" s="1" t="str">
        <f>""</f>
        <v/>
      </c>
      <c r="L208" s="1" t="str">
        <f>""</f>
        <v/>
      </c>
      <c r="M208" s="1" t="s">
        <v>207</v>
      </c>
    </row>
    <row r="209" spans="1:13" x14ac:dyDescent="0.25">
      <c r="A209" s="1" t="str">
        <f>"Samir"</f>
        <v>Samir</v>
      </c>
      <c r="B209" s="1" t="str">
        <f>"Borsla"</f>
        <v>Borsla</v>
      </c>
      <c r="C209" s="1" t="str">
        <f t="shared" si="29"/>
        <v>M</v>
      </c>
      <c r="D209" s="1" t="str">
        <f t="shared" si="32"/>
        <v>U14</v>
      </c>
      <c r="E209" s="2">
        <v>2006</v>
      </c>
      <c r="F209" s="1" t="str">
        <f>"Club de judo Torii"</f>
        <v>Club de judo Torii</v>
      </c>
      <c r="G209" s="1" t="str">
        <f>"-38kg"</f>
        <v>-38kg</v>
      </c>
      <c r="H209" s="1" t="str">
        <f>"0236230"</f>
        <v>0236230</v>
      </c>
      <c r="I209" s="1" t="str">
        <f t="shared" si="30"/>
        <v>QC</v>
      </c>
      <c r="J209" s="1" t="s">
        <v>165</v>
      </c>
      <c r="K209" s="1" t="str">
        <f>""</f>
        <v/>
      </c>
      <c r="L209" s="1" t="str">
        <f>""</f>
        <v/>
      </c>
      <c r="M209" s="1" t="s">
        <v>207</v>
      </c>
    </row>
    <row r="210" spans="1:13" x14ac:dyDescent="0.25">
      <c r="A210" s="1" t="str">
        <f>"Leopold"</f>
        <v>Leopold</v>
      </c>
      <c r="B210" s="1" t="str">
        <f>"Caron"</f>
        <v>Caron</v>
      </c>
      <c r="C210" s="1" t="s">
        <v>13</v>
      </c>
      <c r="D210" s="1" t="str">
        <f t="shared" si="32"/>
        <v>U14</v>
      </c>
      <c r="E210" s="2">
        <v>2007</v>
      </c>
      <c r="F210" s="1" t="str">
        <f>"Club de judo Métropolitain inc."</f>
        <v>Club de judo Métropolitain inc.</v>
      </c>
      <c r="G210" s="1" t="str">
        <f>"-36kg"</f>
        <v>-36kg</v>
      </c>
      <c r="H210" s="1" t="str">
        <f>"0223693"</f>
        <v>0223693</v>
      </c>
      <c r="I210" s="1" t="str">
        <f t="shared" si="30"/>
        <v>QC</v>
      </c>
      <c r="J210" s="1" t="s">
        <v>171</v>
      </c>
      <c r="K210" s="1" t="str">
        <f>""</f>
        <v/>
      </c>
      <c r="L210" s="1" t="str">
        <f>""</f>
        <v/>
      </c>
      <c r="M210" s="1" t="s">
        <v>207</v>
      </c>
    </row>
    <row r="211" spans="1:13" x14ac:dyDescent="0.25">
      <c r="A211" s="1" t="str">
        <f>"Alexis"</f>
        <v>Alexis</v>
      </c>
      <c r="B211" s="1" t="str">
        <f>"Desbiens"</f>
        <v>Desbiens</v>
      </c>
      <c r="C211" s="1" t="str">
        <f t="shared" ref="C211:C237" si="33">"M"</f>
        <v>M</v>
      </c>
      <c r="D211" s="1" t="str">
        <f t="shared" si="32"/>
        <v>U14</v>
      </c>
      <c r="E211" s="2">
        <v>2006</v>
      </c>
      <c r="F211" s="1" t="str">
        <f>"Club judokas Jonquière inc."</f>
        <v>Club judokas Jonquière inc.</v>
      </c>
      <c r="G211" s="1" t="str">
        <f t="shared" ref="G211:G233" si="34">"-38kg"</f>
        <v>-38kg</v>
      </c>
      <c r="H211" s="1" t="str">
        <f>"0209378"</f>
        <v>0209378</v>
      </c>
      <c r="I211" s="1" t="str">
        <f t="shared" si="30"/>
        <v>QC</v>
      </c>
      <c r="J211" s="1" t="s">
        <v>171</v>
      </c>
      <c r="K211" s="1" t="str">
        <f>""</f>
        <v/>
      </c>
      <c r="L211" s="1" t="str">
        <f>""</f>
        <v/>
      </c>
      <c r="M211" s="1" t="s">
        <v>207</v>
      </c>
    </row>
    <row r="212" spans="1:13" x14ac:dyDescent="0.25">
      <c r="A212" s="1" t="str">
        <f>"Rory"</f>
        <v>Rory</v>
      </c>
      <c r="B212" s="1" t="str">
        <f>"Dupuis"</f>
        <v>Dupuis</v>
      </c>
      <c r="C212" s="1" t="str">
        <f t="shared" si="33"/>
        <v>M</v>
      </c>
      <c r="D212" s="1" t="str">
        <f t="shared" si="32"/>
        <v>U14</v>
      </c>
      <c r="E212" s="2">
        <v>2007</v>
      </c>
      <c r="F212" s="1" t="str">
        <f>"Takahashi Dojo"</f>
        <v>Takahashi Dojo</v>
      </c>
      <c r="G212" s="1" t="str">
        <f t="shared" si="34"/>
        <v>-38kg</v>
      </c>
      <c r="H212" s="1" t="str">
        <f>"0215150"</f>
        <v>0215150</v>
      </c>
      <c r="I212" s="1" t="str">
        <f>"ON"</f>
        <v>ON</v>
      </c>
      <c r="J212" s="1" t="s">
        <v>171</v>
      </c>
      <c r="K212" s="1" t="str">
        <f>""</f>
        <v/>
      </c>
      <c r="L212" s="1" t="str">
        <f>""</f>
        <v/>
      </c>
      <c r="M212" s="1" t="s">
        <v>207</v>
      </c>
    </row>
    <row r="213" spans="1:13" x14ac:dyDescent="0.25">
      <c r="A213" s="1" t="str">
        <f>"Vladimir"</f>
        <v>Vladimir</v>
      </c>
      <c r="B213" s="1" t="str">
        <f>"Hegai"</f>
        <v>Hegai</v>
      </c>
      <c r="C213" s="1" t="str">
        <f t="shared" si="33"/>
        <v>M</v>
      </c>
      <c r="D213" s="1" t="str">
        <f t="shared" si="32"/>
        <v>U14</v>
      </c>
      <c r="E213" s="2">
        <v>2007</v>
      </c>
      <c r="F213" s="1" t="str">
        <f>"Challenge Sports Club"</f>
        <v>Challenge Sports Club</v>
      </c>
      <c r="G213" s="1" t="str">
        <f t="shared" si="34"/>
        <v>-38kg</v>
      </c>
      <c r="H213" s="1" t="str">
        <f>"0215020"</f>
        <v>0215020</v>
      </c>
      <c r="I213" s="1" t="str">
        <f>"ON"</f>
        <v>ON</v>
      </c>
      <c r="J213" s="1" t="s">
        <v>171</v>
      </c>
      <c r="K213" s="1" t="str">
        <f>""</f>
        <v/>
      </c>
      <c r="L213" s="1" t="str">
        <f>""</f>
        <v/>
      </c>
      <c r="M213" s="1" t="s">
        <v>207</v>
      </c>
    </row>
    <row r="214" spans="1:13" x14ac:dyDescent="0.25">
      <c r="A214" s="1" t="str">
        <f>"Zain"</f>
        <v>Zain</v>
      </c>
      <c r="B214" s="1" t="str">
        <f>"Khalil"</f>
        <v>Khalil</v>
      </c>
      <c r="C214" s="1" t="str">
        <f t="shared" si="33"/>
        <v>M</v>
      </c>
      <c r="D214" s="1" t="str">
        <f t="shared" si="32"/>
        <v>U14</v>
      </c>
      <c r="E214" s="2">
        <v>2007</v>
      </c>
      <c r="F214" s="1" t="str">
        <f>"Budokan Saint-Laurent"</f>
        <v>Budokan Saint-Laurent</v>
      </c>
      <c r="G214" s="1" t="str">
        <f t="shared" si="34"/>
        <v>-38kg</v>
      </c>
      <c r="H214" s="1" t="str">
        <f>"0410068"</f>
        <v>0410068</v>
      </c>
      <c r="I214" s="1" t="str">
        <f t="shared" ref="I214:I237" si="35">"QC"</f>
        <v>QC</v>
      </c>
      <c r="J214" s="1" t="s">
        <v>165</v>
      </c>
      <c r="K214" s="1" t="str">
        <f>""</f>
        <v/>
      </c>
      <c r="L214" s="1" t="str">
        <f>""</f>
        <v/>
      </c>
      <c r="M214" s="1" t="s">
        <v>207</v>
      </c>
    </row>
    <row r="215" spans="1:13" x14ac:dyDescent="0.25">
      <c r="A215" s="1" t="str">
        <f>"Felix"</f>
        <v>Felix</v>
      </c>
      <c r="B215" s="1" t="str">
        <f>"McCandless"</f>
        <v>McCandless</v>
      </c>
      <c r="C215" s="1" t="str">
        <f t="shared" si="33"/>
        <v>M</v>
      </c>
      <c r="D215" s="1" t="str">
        <f t="shared" si="32"/>
        <v>U14</v>
      </c>
      <c r="E215" s="2">
        <v>2007</v>
      </c>
      <c r="F215" s="1" t="str">
        <f>"Club de judo de la vieille capitale"</f>
        <v>Club de judo de la vieille capitale</v>
      </c>
      <c r="G215" s="1" t="str">
        <f t="shared" si="34"/>
        <v>-38kg</v>
      </c>
      <c r="H215" s="1" t="str">
        <f>"0198062"</f>
        <v>0198062</v>
      </c>
      <c r="I215" s="1" t="str">
        <f t="shared" si="35"/>
        <v>QC</v>
      </c>
      <c r="J215" s="1" t="s">
        <v>172</v>
      </c>
      <c r="K215" s="1" t="str">
        <f>""</f>
        <v/>
      </c>
      <c r="L215" s="1" t="str">
        <f>""</f>
        <v/>
      </c>
      <c r="M215" s="1" t="s">
        <v>207</v>
      </c>
    </row>
    <row r="216" spans="1:13" x14ac:dyDescent="0.25">
      <c r="A216" s="1" t="str">
        <f>"Manid"</f>
        <v>Manid</v>
      </c>
      <c r="B216" s="1" t="str">
        <f>"Messaoudene"</f>
        <v>Messaoudene</v>
      </c>
      <c r="C216" s="1" t="str">
        <f t="shared" si="33"/>
        <v>M</v>
      </c>
      <c r="D216" s="1" t="str">
        <f t="shared" si="32"/>
        <v>U14</v>
      </c>
      <c r="E216" s="2">
        <v>2006</v>
      </c>
      <c r="F216" s="1" t="str">
        <f>"Club de judo St-Jean Bosco de Hull"</f>
        <v>Club de judo St-Jean Bosco de Hull</v>
      </c>
      <c r="G216" s="1" t="str">
        <f t="shared" si="34"/>
        <v>-38kg</v>
      </c>
      <c r="H216" s="1" t="str">
        <f>"0190058"</f>
        <v>0190058</v>
      </c>
      <c r="I216" s="1" t="str">
        <f t="shared" si="35"/>
        <v>QC</v>
      </c>
      <c r="J216" s="1" t="s">
        <v>171</v>
      </c>
      <c r="K216" s="1" t="str">
        <f>""</f>
        <v/>
      </c>
      <c r="L216" s="1" t="str">
        <f>""</f>
        <v/>
      </c>
      <c r="M216" s="1" t="s">
        <v>207</v>
      </c>
    </row>
    <row r="217" spans="1:13" x14ac:dyDescent="0.25">
      <c r="A217" s="1" t="str">
        <f>"Isaac"</f>
        <v>Isaac</v>
      </c>
      <c r="B217" s="1" t="str">
        <f>"Mongrain"</f>
        <v>Mongrain</v>
      </c>
      <c r="C217" s="1" t="str">
        <f t="shared" si="33"/>
        <v>M</v>
      </c>
      <c r="D217" s="1" t="str">
        <f t="shared" si="32"/>
        <v>U14</v>
      </c>
      <c r="E217" s="2">
        <v>2006</v>
      </c>
      <c r="F217" s="1" t="str">
        <f>"Club de judo Seïkidokan inc."</f>
        <v>Club de judo Seïkidokan inc.</v>
      </c>
      <c r="G217" s="1" t="str">
        <f t="shared" si="34"/>
        <v>-38kg</v>
      </c>
      <c r="H217" s="1" t="str">
        <f>"0231309"</f>
        <v>0231309</v>
      </c>
      <c r="I217" s="1" t="str">
        <f t="shared" si="35"/>
        <v>QC</v>
      </c>
      <c r="J217" s="1" t="s">
        <v>171</v>
      </c>
      <c r="K217" s="1" t="str">
        <f>""</f>
        <v/>
      </c>
      <c r="L217" s="1" t="str">
        <f>""</f>
        <v/>
      </c>
      <c r="M217" s="1" t="s">
        <v>207</v>
      </c>
    </row>
    <row r="218" spans="1:13" x14ac:dyDescent="0.25">
      <c r="A218" s="1" t="str">
        <f>"Xavier"</f>
        <v>Xavier</v>
      </c>
      <c r="B218" s="1" t="str">
        <f>"Robidas"</f>
        <v>Robidas</v>
      </c>
      <c r="C218" s="1" t="str">
        <f t="shared" si="33"/>
        <v>M</v>
      </c>
      <c r="D218" s="1" t="str">
        <f t="shared" si="32"/>
        <v>U14</v>
      </c>
      <c r="E218" s="2">
        <v>2006</v>
      </c>
      <c r="F218" s="1" t="str">
        <f>"Club de judo St-Jean Bosco de Hull"</f>
        <v>Club de judo St-Jean Bosco de Hull</v>
      </c>
      <c r="G218" s="1" t="str">
        <f t="shared" si="34"/>
        <v>-38kg</v>
      </c>
      <c r="H218" s="1" t="str">
        <f>"0227759"</f>
        <v>0227759</v>
      </c>
      <c r="I218" s="1" t="str">
        <f t="shared" si="35"/>
        <v>QC</v>
      </c>
      <c r="J218" s="1" t="s">
        <v>171</v>
      </c>
      <c r="K218" s="1" t="str">
        <f>""</f>
        <v/>
      </c>
      <c r="L218" s="1" t="str">
        <f>""</f>
        <v/>
      </c>
      <c r="M218" s="1" t="s">
        <v>207</v>
      </c>
    </row>
    <row r="219" spans="1:13" x14ac:dyDescent="0.25">
      <c r="A219" s="1" t="str">
        <f>"Vincent"</f>
        <v>Vincent</v>
      </c>
      <c r="B219" s="1" t="str">
        <f>"St-Denis"</f>
        <v>St-Denis</v>
      </c>
      <c r="C219" s="1" t="str">
        <f t="shared" si="33"/>
        <v>M</v>
      </c>
      <c r="D219" s="1" t="str">
        <f t="shared" si="32"/>
        <v>U14</v>
      </c>
      <c r="E219" s="2">
        <v>2007</v>
      </c>
      <c r="F219" s="1" t="str">
        <f>"Club de judo Olympique"</f>
        <v>Club de judo Olympique</v>
      </c>
      <c r="G219" s="1" t="str">
        <f t="shared" si="34"/>
        <v>-38kg</v>
      </c>
      <c r="H219" s="1" t="str">
        <f>"0410451"</f>
        <v>0410451</v>
      </c>
      <c r="I219" s="1" t="str">
        <f t="shared" si="35"/>
        <v>QC</v>
      </c>
      <c r="J219" s="1" t="s">
        <v>171</v>
      </c>
      <c r="K219" s="1" t="str">
        <f>""</f>
        <v/>
      </c>
      <c r="L219" s="1" t="str">
        <f>""</f>
        <v/>
      </c>
      <c r="M219" s="1" t="s">
        <v>207</v>
      </c>
    </row>
    <row r="220" spans="1:13" x14ac:dyDescent="0.25">
      <c r="A220" s="1" t="str">
        <f>"Danyil"</f>
        <v>Danyil</v>
      </c>
      <c r="B220" s="1" t="str">
        <f>"Tkach"</f>
        <v>Tkach</v>
      </c>
      <c r="C220" s="1" t="str">
        <f t="shared" si="33"/>
        <v>M</v>
      </c>
      <c r="D220" s="1" t="str">
        <f t="shared" si="32"/>
        <v>U14</v>
      </c>
      <c r="E220" s="2">
        <v>2007</v>
      </c>
      <c r="F220" s="1" t="str">
        <f>"Sport Centre Ippon"</f>
        <v>Sport Centre Ippon</v>
      </c>
      <c r="G220" s="1" t="str">
        <f t="shared" si="34"/>
        <v>-38kg</v>
      </c>
      <c r="H220" s="1" t="str">
        <f>"0203122"</f>
        <v>0203122</v>
      </c>
      <c r="I220" s="1" t="str">
        <f t="shared" si="35"/>
        <v>QC</v>
      </c>
      <c r="J220" s="1" t="s">
        <v>172</v>
      </c>
      <c r="K220" s="1" t="str">
        <f>""</f>
        <v/>
      </c>
      <c r="L220" s="1" t="str">
        <f>""</f>
        <v/>
      </c>
      <c r="M220" s="1" t="s">
        <v>207</v>
      </c>
    </row>
    <row r="221" spans="1:13" x14ac:dyDescent="0.25">
      <c r="A221" s="1" t="str">
        <f>"Thibault"</f>
        <v>Thibault</v>
      </c>
      <c r="B221" s="1" t="str">
        <f>"Verdier"</f>
        <v>Verdier</v>
      </c>
      <c r="C221" s="1" t="str">
        <f t="shared" si="33"/>
        <v>M</v>
      </c>
      <c r="D221" s="1" t="str">
        <f t="shared" si="32"/>
        <v>U14</v>
      </c>
      <c r="E221" s="2">
        <v>2006</v>
      </c>
      <c r="F221" s="1" t="str">
        <f>"Dojo Zenshin"</f>
        <v>Dojo Zenshin</v>
      </c>
      <c r="G221" s="1" t="str">
        <f t="shared" si="34"/>
        <v>-38kg</v>
      </c>
      <c r="H221" s="1" t="str">
        <f>"0215772"</f>
        <v>0215772</v>
      </c>
      <c r="I221" s="1" t="str">
        <f t="shared" si="35"/>
        <v>QC</v>
      </c>
      <c r="J221" s="1" t="s">
        <v>171</v>
      </c>
      <c r="K221" s="1" t="str">
        <f>""</f>
        <v/>
      </c>
      <c r="L221" s="1" t="str">
        <f>""</f>
        <v/>
      </c>
      <c r="M221" s="1" t="s">
        <v>207</v>
      </c>
    </row>
    <row r="222" spans="1:13" x14ac:dyDescent="0.25">
      <c r="A222" s="7" t="str">
        <f>"Jules"</f>
        <v>Jules</v>
      </c>
      <c r="B222" s="7" t="str">
        <f>"Ampleman"</f>
        <v>Ampleman</v>
      </c>
      <c r="C222" s="7" t="str">
        <f t="shared" si="33"/>
        <v>M</v>
      </c>
      <c r="D222" s="7" t="str">
        <f t="shared" si="32"/>
        <v>U14</v>
      </c>
      <c r="E222" s="2">
        <v>2006</v>
      </c>
      <c r="F222" s="7" t="str">
        <f>"Club de judo de la vieille capitale"</f>
        <v>Club de judo de la vieille capitale</v>
      </c>
      <c r="G222" s="7" t="str">
        <f t="shared" si="34"/>
        <v>-38kg</v>
      </c>
      <c r="H222" s="7" t="str">
        <f>"0198063"</f>
        <v>0198063</v>
      </c>
      <c r="I222" s="7" t="str">
        <f t="shared" si="35"/>
        <v>QC</v>
      </c>
      <c r="J222" s="7" t="s">
        <v>174</v>
      </c>
      <c r="K222" s="7" t="str">
        <f>""</f>
        <v/>
      </c>
      <c r="L222" s="7" t="str">
        <f>""</f>
        <v/>
      </c>
      <c r="M222" s="7" t="s">
        <v>198</v>
      </c>
    </row>
    <row r="223" spans="1:13" x14ac:dyDescent="0.25">
      <c r="A223" s="7" t="str">
        <f>"Antoine"</f>
        <v>Antoine</v>
      </c>
      <c r="B223" s="7" t="str">
        <f>"Blouin"</f>
        <v>Blouin</v>
      </c>
      <c r="C223" s="7" t="str">
        <f t="shared" si="33"/>
        <v>M</v>
      </c>
      <c r="D223" s="7" t="str">
        <f t="shared" si="32"/>
        <v>U14</v>
      </c>
      <c r="E223" s="2">
        <v>2006</v>
      </c>
      <c r="F223" s="7" t="str">
        <f>"Club de judo Vallée du Richelieu"</f>
        <v>Club de judo Vallée du Richelieu</v>
      </c>
      <c r="G223" s="7" t="str">
        <f t="shared" si="34"/>
        <v>-38kg</v>
      </c>
      <c r="H223" s="7" t="str">
        <f>"0189847"</f>
        <v>0189847</v>
      </c>
      <c r="I223" s="7" t="str">
        <f t="shared" si="35"/>
        <v>QC</v>
      </c>
      <c r="J223" s="7" t="s">
        <v>164</v>
      </c>
      <c r="K223" s="7" t="str">
        <f>""</f>
        <v/>
      </c>
      <c r="L223" s="7" t="str">
        <f>""</f>
        <v/>
      </c>
      <c r="M223" s="7" t="s">
        <v>198</v>
      </c>
    </row>
    <row r="224" spans="1:13" x14ac:dyDescent="0.25">
      <c r="A224" s="7" t="str">
        <f>"Iliass"</f>
        <v>Iliass</v>
      </c>
      <c r="B224" s="7" t="str">
        <f>"Chennoufi"</f>
        <v>Chennoufi</v>
      </c>
      <c r="C224" s="7" t="str">
        <f t="shared" si="33"/>
        <v>M</v>
      </c>
      <c r="D224" s="7" t="str">
        <f t="shared" si="32"/>
        <v>U14</v>
      </c>
      <c r="E224" s="2">
        <v>2007</v>
      </c>
      <c r="F224" s="7" t="str">
        <f>"Club de judo Métropolitain inc."</f>
        <v>Club de judo Métropolitain inc.</v>
      </c>
      <c r="G224" s="7" t="str">
        <f t="shared" si="34"/>
        <v>-38kg</v>
      </c>
      <c r="H224" s="7" t="str">
        <f>"0199931"</f>
        <v>0199931</v>
      </c>
      <c r="I224" s="7" t="str">
        <f t="shared" si="35"/>
        <v>QC</v>
      </c>
      <c r="J224" s="7" t="s">
        <v>174</v>
      </c>
      <c r="K224" s="7" t="str">
        <f>""</f>
        <v/>
      </c>
      <c r="L224" s="7" t="str">
        <f>""</f>
        <v/>
      </c>
      <c r="M224" s="7" t="s">
        <v>198</v>
      </c>
    </row>
    <row r="225" spans="1:13" x14ac:dyDescent="0.25">
      <c r="A225" s="7" t="str">
        <f>"Sacha"</f>
        <v>Sacha</v>
      </c>
      <c r="B225" s="7" t="str">
        <f>"Cliche"</f>
        <v>Cliche</v>
      </c>
      <c r="C225" s="7" t="str">
        <f t="shared" si="33"/>
        <v>M</v>
      </c>
      <c r="D225" s="7" t="str">
        <f t="shared" si="32"/>
        <v>U14</v>
      </c>
      <c r="E225" s="2">
        <v>2006</v>
      </c>
      <c r="F225" s="7" t="str">
        <f>"Judo Beauce"</f>
        <v>Judo Beauce</v>
      </c>
      <c r="G225" s="7" t="str">
        <f t="shared" si="34"/>
        <v>-38kg</v>
      </c>
      <c r="H225" s="7" t="str">
        <f>"0223378"</f>
        <v>0223378</v>
      </c>
      <c r="I225" s="7" t="str">
        <f t="shared" si="35"/>
        <v>QC</v>
      </c>
      <c r="J225" s="7" t="s">
        <v>174</v>
      </c>
      <c r="K225" s="7" t="str">
        <f>""</f>
        <v/>
      </c>
      <c r="L225" s="7" t="str">
        <f>""</f>
        <v/>
      </c>
      <c r="M225" s="7" t="s">
        <v>198</v>
      </c>
    </row>
    <row r="226" spans="1:13" x14ac:dyDescent="0.25">
      <c r="A226" s="7" t="str">
        <f>"Corey"</f>
        <v>Corey</v>
      </c>
      <c r="B226" s="7" t="str">
        <f>"D'arterio"</f>
        <v>D'arterio</v>
      </c>
      <c r="C226" s="7" t="str">
        <f t="shared" si="33"/>
        <v>M</v>
      </c>
      <c r="D226" s="7" t="str">
        <f t="shared" si="32"/>
        <v>U14</v>
      </c>
      <c r="E226" s="2">
        <v>2007</v>
      </c>
      <c r="F226" s="7" t="str">
        <f>"Dojo Perrot Shima"</f>
        <v>Dojo Perrot Shima</v>
      </c>
      <c r="G226" s="7" t="str">
        <f t="shared" si="34"/>
        <v>-38kg</v>
      </c>
      <c r="H226" s="7" t="str">
        <f>"0193672"</f>
        <v>0193672</v>
      </c>
      <c r="I226" s="7" t="str">
        <f t="shared" si="35"/>
        <v>QC</v>
      </c>
      <c r="J226" s="7" t="s">
        <v>174</v>
      </c>
      <c r="K226" s="7" t="str">
        <f>""</f>
        <v/>
      </c>
      <c r="L226" s="7" t="str">
        <f>""</f>
        <v/>
      </c>
      <c r="M226" s="7" t="s">
        <v>198</v>
      </c>
    </row>
    <row r="227" spans="1:13" x14ac:dyDescent="0.25">
      <c r="A227" s="7" t="str">
        <f>"Julien"</f>
        <v>Julien</v>
      </c>
      <c r="B227" s="7" t="str">
        <f>"Edwards"</f>
        <v>Edwards</v>
      </c>
      <c r="C227" s="7" t="str">
        <f t="shared" si="33"/>
        <v>M</v>
      </c>
      <c r="D227" s="7" t="str">
        <f t="shared" si="32"/>
        <v>U14</v>
      </c>
      <c r="E227" s="2">
        <v>2006</v>
      </c>
      <c r="F227" s="7" t="str">
        <f>"Club de judo Shidokan inc."</f>
        <v>Club de judo Shidokan inc.</v>
      </c>
      <c r="G227" s="7" t="str">
        <f t="shared" si="34"/>
        <v>-38kg</v>
      </c>
      <c r="H227" s="7" t="str">
        <f>"0205552"</f>
        <v>0205552</v>
      </c>
      <c r="I227" s="7" t="str">
        <f t="shared" si="35"/>
        <v>QC</v>
      </c>
      <c r="J227" s="7" t="s">
        <v>174</v>
      </c>
      <c r="K227" s="7" t="str">
        <f>""</f>
        <v/>
      </c>
      <c r="L227" s="7" t="str">
        <f>""</f>
        <v/>
      </c>
      <c r="M227" s="7" t="s">
        <v>198</v>
      </c>
    </row>
    <row r="228" spans="1:13" x14ac:dyDescent="0.25">
      <c r="A228" s="7" t="str">
        <f>"Amine"</f>
        <v>Amine</v>
      </c>
      <c r="B228" s="7" t="str">
        <f>"Hadj-Bachir"</f>
        <v>Hadj-Bachir</v>
      </c>
      <c r="C228" s="7" t="str">
        <f t="shared" si="33"/>
        <v>M</v>
      </c>
      <c r="D228" s="7" t="str">
        <f t="shared" si="32"/>
        <v>U14</v>
      </c>
      <c r="E228" s="2">
        <v>2007</v>
      </c>
      <c r="F228" s="7" t="str">
        <f>"Club de judo Métropolitain inc."</f>
        <v>Club de judo Métropolitain inc.</v>
      </c>
      <c r="G228" s="7" t="str">
        <f t="shared" si="34"/>
        <v>-38kg</v>
      </c>
      <c r="H228" s="7" t="str">
        <f>"0205099"</f>
        <v>0205099</v>
      </c>
      <c r="I228" s="7" t="str">
        <f t="shared" si="35"/>
        <v>QC</v>
      </c>
      <c r="J228" s="7" t="s">
        <v>174</v>
      </c>
      <c r="K228" s="7" t="str">
        <f>""</f>
        <v/>
      </c>
      <c r="L228" s="7" t="str">
        <f>""</f>
        <v/>
      </c>
      <c r="M228" s="7" t="s">
        <v>198</v>
      </c>
    </row>
    <row r="229" spans="1:13" x14ac:dyDescent="0.25">
      <c r="A229" s="7" t="str">
        <f>"Hugo"</f>
        <v>Hugo</v>
      </c>
      <c r="B229" s="7" t="str">
        <f>"Houle"</f>
        <v>Houle</v>
      </c>
      <c r="C229" s="7" t="str">
        <f t="shared" si="33"/>
        <v>M</v>
      </c>
      <c r="D229" s="7" t="str">
        <f t="shared" si="32"/>
        <v>U14</v>
      </c>
      <c r="E229" s="2">
        <v>2006</v>
      </c>
      <c r="F229" s="7" t="str">
        <f>"Judo Victo Inc."</f>
        <v>Judo Victo Inc.</v>
      </c>
      <c r="G229" s="7" t="str">
        <f t="shared" si="34"/>
        <v>-38kg</v>
      </c>
      <c r="H229" s="7" t="str">
        <f>"0188916"</f>
        <v>0188916</v>
      </c>
      <c r="I229" s="7" t="str">
        <f t="shared" si="35"/>
        <v>QC</v>
      </c>
      <c r="J229" s="7" t="s">
        <v>174</v>
      </c>
      <c r="K229" s="7" t="str">
        <f>""</f>
        <v/>
      </c>
      <c r="L229" s="7" t="str">
        <f>""</f>
        <v/>
      </c>
      <c r="M229" s="7" t="s">
        <v>198</v>
      </c>
    </row>
    <row r="230" spans="1:13" x14ac:dyDescent="0.25">
      <c r="A230" s="7" t="str">
        <f>"Youcef"</f>
        <v>Youcef</v>
      </c>
      <c r="B230" s="7" t="str">
        <f>"Ikene"</f>
        <v>Ikene</v>
      </c>
      <c r="C230" s="7" t="str">
        <f t="shared" si="33"/>
        <v>M</v>
      </c>
      <c r="D230" s="7" t="str">
        <f t="shared" si="32"/>
        <v>U14</v>
      </c>
      <c r="E230" s="2">
        <v>2007</v>
      </c>
      <c r="F230" s="7" t="str">
        <f>"Club de judo Métropolitain inc."</f>
        <v>Club de judo Métropolitain inc.</v>
      </c>
      <c r="G230" s="7" t="str">
        <f t="shared" si="34"/>
        <v>-38kg</v>
      </c>
      <c r="H230" s="7" t="str">
        <f>"0195171"</f>
        <v>0195171</v>
      </c>
      <c r="I230" s="7" t="str">
        <f t="shared" si="35"/>
        <v>QC</v>
      </c>
      <c r="J230" s="7" t="s">
        <v>174</v>
      </c>
      <c r="K230" s="7" t="str">
        <f>""</f>
        <v/>
      </c>
      <c r="L230" s="7" t="str">
        <f>""</f>
        <v/>
      </c>
      <c r="M230" s="7" t="s">
        <v>198</v>
      </c>
    </row>
    <row r="231" spans="1:13" x14ac:dyDescent="0.25">
      <c r="A231" s="7" t="str">
        <f>"Olivier"</f>
        <v>Olivier</v>
      </c>
      <c r="B231" s="7" t="str">
        <f>"Morin"</f>
        <v>Morin</v>
      </c>
      <c r="C231" s="7" t="str">
        <f t="shared" si="33"/>
        <v>M</v>
      </c>
      <c r="D231" s="7" t="str">
        <f t="shared" si="32"/>
        <v>U14</v>
      </c>
      <c r="E231" s="2">
        <v>2006</v>
      </c>
      <c r="F231" s="7" t="str">
        <f>"Hontaï Dojo"</f>
        <v>Hontaï Dojo</v>
      </c>
      <c r="G231" s="7" t="str">
        <f t="shared" si="34"/>
        <v>-38kg</v>
      </c>
      <c r="H231" s="7" t="str">
        <f>"0194263"</f>
        <v>0194263</v>
      </c>
      <c r="I231" s="7" t="str">
        <f t="shared" si="35"/>
        <v>QC</v>
      </c>
      <c r="J231" s="7" t="s">
        <v>175</v>
      </c>
      <c r="K231" s="7" t="str">
        <f>""</f>
        <v/>
      </c>
      <c r="L231" s="7" t="str">
        <f>""</f>
        <v/>
      </c>
      <c r="M231" s="7" t="s">
        <v>198</v>
      </c>
    </row>
    <row r="232" spans="1:13" x14ac:dyDescent="0.25">
      <c r="A232" s="7" t="str">
        <f>"Thomas"</f>
        <v>Thomas</v>
      </c>
      <c r="B232" s="7" t="str">
        <f>"Rodrigue"</f>
        <v>Rodrigue</v>
      </c>
      <c r="C232" s="7" t="str">
        <f t="shared" si="33"/>
        <v>M</v>
      </c>
      <c r="D232" s="7" t="str">
        <f t="shared" si="32"/>
        <v>U14</v>
      </c>
      <c r="E232" s="2">
        <v>2007</v>
      </c>
      <c r="F232" s="7" t="str">
        <f>"Judo Beauce"</f>
        <v>Judo Beauce</v>
      </c>
      <c r="G232" s="7" t="str">
        <f t="shared" si="34"/>
        <v>-38kg</v>
      </c>
      <c r="H232" s="7" t="str">
        <f>"0220500"</f>
        <v>0220500</v>
      </c>
      <c r="I232" s="7" t="str">
        <f t="shared" si="35"/>
        <v>QC</v>
      </c>
      <c r="J232" s="7" t="s">
        <v>175</v>
      </c>
      <c r="K232" s="7" t="str">
        <f>""</f>
        <v/>
      </c>
      <c r="L232" s="7" t="str">
        <f>""</f>
        <v/>
      </c>
      <c r="M232" s="7" t="s">
        <v>198</v>
      </c>
    </row>
    <row r="233" spans="1:13" x14ac:dyDescent="0.25">
      <c r="A233" s="7" t="str">
        <f>"Abdeldjaleel"</f>
        <v>Abdeldjaleel</v>
      </c>
      <c r="B233" s="7" t="str">
        <f>"Salhi"</f>
        <v>Salhi</v>
      </c>
      <c r="C233" s="7" t="str">
        <f t="shared" si="33"/>
        <v>M</v>
      </c>
      <c r="D233" s="7" t="str">
        <f t="shared" ref="D233:D264" si="36">"U14"</f>
        <v>U14</v>
      </c>
      <c r="E233" s="2">
        <v>2006</v>
      </c>
      <c r="F233" s="7" t="str">
        <f>"Club de judo Métropolitain inc."</f>
        <v>Club de judo Métropolitain inc.</v>
      </c>
      <c r="G233" s="7" t="str">
        <f t="shared" si="34"/>
        <v>-38kg</v>
      </c>
      <c r="H233" s="7" t="str">
        <f>"0186653"</f>
        <v>0186653</v>
      </c>
      <c r="I233" s="7" t="str">
        <f t="shared" si="35"/>
        <v>QC</v>
      </c>
      <c r="J233" s="7" t="s">
        <v>174</v>
      </c>
      <c r="K233" s="7" t="str">
        <f>""</f>
        <v/>
      </c>
      <c r="L233" s="7" t="str">
        <f>""</f>
        <v/>
      </c>
      <c r="M233" s="7" t="s">
        <v>198</v>
      </c>
    </row>
    <row r="234" spans="1:13" x14ac:dyDescent="0.25">
      <c r="A234" s="5" t="str">
        <f>"Ryan"</f>
        <v>Ryan</v>
      </c>
      <c r="B234" s="5" t="str">
        <f>"Aba"</f>
        <v>Aba</v>
      </c>
      <c r="C234" s="5" t="str">
        <f t="shared" si="33"/>
        <v>M</v>
      </c>
      <c r="D234" s="5" t="str">
        <f t="shared" si="36"/>
        <v>U14</v>
      </c>
      <c r="E234" s="2">
        <v>2006</v>
      </c>
      <c r="F234" s="5" t="str">
        <f>"Club de judo St-Paul l'Ermite"</f>
        <v>Club de judo St-Paul l'Ermite</v>
      </c>
      <c r="G234" s="5" t="str">
        <f t="shared" ref="G234:G255" si="37">"-42kg"</f>
        <v>-42kg</v>
      </c>
      <c r="H234" s="5" t="str">
        <f>"0195861"</f>
        <v>0195861</v>
      </c>
      <c r="I234" s="5" t="str">
        <f t="shared" si="35"/>
        <v>QC</v>
      </c>
      <c r="J234" s="5" t="s">
        <v>172</v>
      </c>
      <c r="K234" s="5" t="str">
        <f>""</f>
        <v/>
      </c>
      <c r="L234" s="5" t="str">
        <f>""</f>
        <v/>
      </c>
      <c r="M234" s="5" t="s">
        <v>208</v>
      </c>
    </row>
    <row r="235" spans="1:13" x14ac:dyDescent="0.25">
      <c r="A235" s="5" t="str">
        <f>"Adam"</f>
        <v>Adam</v>
      </c>
      <c r="B235" s="5" t="str">
        <f>"Boisjoly"</f>
        <v>Boisjoly</v>
      </c>
      <c r="C235" s="5" t="str">
        <f t="shared" si="33"/>
        <v>M</v>
      </c>
      <c r="D235" s="5" t="str">
        <f t="shared" si="36"/>
        <v>U14</v>
      </c>
      <c r="E235" s="2">
        <v>2006</v>
      </c>
      <c r="F235" s="5" t="str">
        <f>"Kime-Waza  Joliette"</f>
        <v>Kime-Waza  Joliette</v>
      </c>
      <c r="G235" s="5" t="str">
        <f t="shared" si="37"/>
        <v>-42kg</v>
      </c>
      <c r="H235" s="5" t="str">
        <f>"0205683"</f>
        <v>0205683</v>
      </c>
      <c r="I235" s="5" t="str">
        <f t="shared" si="35"/>
        <v>QC</v>
      </c>
      <c r="J235" s="5" t="s">
        <v>171</v>
      </c>
      <c r="K235" s="5" t="str">
        <f>""</f>
        <v/>
      </c>
      <c r="L235" s="5" t="str">
        <f>""</f>
        <v/>
      </c>
      <c r="M235" s="5" t="s">
        <v>208</v>
      </c>
    </row>
    <row r="236" spans="1:13" x14ac:dyDescent="0.25">
      <c r="A236" s="5" t="str">
        <f>"Simon"</f>
        <v>Simon</v>
      </c>
      <c r="B236" s="5" t="str">
        <f>"Cormier"</f>
        <v>Cormier</v>
      </c>
      <c r="C236" s="5" t="str">
        <f t="shared" si="33"/>
        <v>M</v>
      </c>
      <c r="D236" s="5" t="str">
        <f t="shared" si="36"/>
        <v>U14</v>
      </c>
      <c r="E236" s="2">
        <v>2007</v>
      </c>
      <c r="F236" s="5" t="str">
        <f>"Dojo Zenshin"</f>
        <v>Dojo Zenshin</v>
      </c>
      <c r="G236" s="5" t="str">
        <f t="shared" si="37"/>
        <v>-42kg</v>
      </c>
      <c r="H236" s="5" t="str">
        <f>"0407996"</f>
        <v>0407996</v>
      </c>
      <c r="I236" s="5" t="str">
        <f t="shared" si="35"/>
        <v>QC</v>
      </c>
      <c r="J236" s="5" t="s">
        <v>165</v>
      </c>
      <c r="K236" s="5" t="str">
        <f>""</f>
        <v/>
      </c>
      <c r="L236" s="5" t="str">
        <f>""</f>
        <v/>
      </c>
      <c r="M236" s="5" t="s">
        <v>208</v>
      </c>
    </row>
    <row r="237" spans="1:13" x14ac:dyDescent="0.25">
      <c r="A237" s="5" t="str">
        <f>"Zinedine"</f>
        <v>Zinedine</v>
      </c>
      <c r="B237" s="5" t="str">
        <f>"Gacete"</f>
        <v>Gacete</v>
      </c>
      <c r="C237" s="5" t="str">
        <f t="shared" si="33"/>
        <v>M</v>
      </c>
      <c r="D237" s="5" t="str">
        <f t="shared" si="36"/>
        <v>U14</v>
      </c>
      <c r="E237" s="2">
        <v>2006</v>
      </c>
      <c r="F237" s="5" t="str">
        <f>"Club judo St-Leonard"</f>
        <v>Club judo St-Leonard</v>
      </c>
      <c r="G237" s="5" t="str">
        <f t="shared" si="37"/>
        <v>-42kg</v>
      </c>
      <c r="H237" s="5" t="str">
        <f>"0200846"</f>
        <v>0200846</v>
      </c>
      <c r="I237" s="5" t="str">
        <f t="shared" si="35"/>
        <v>QC</v>
      </c>
      <c r="J237" s="5" t="s">
        <v>172</v>
      </c>
      <c r="K237" s="5" t="str">
        <f>""</f>
        <v/>
      </c>
      <c r="L237" s="5" t="str">
        <f>""</f>
        <v/>
      </c>
      <c r="M237" s="5" t="s">
        <v>208</v>
      </c>
    </row>
    <row r="238" spans="1:13" x14ac:dyDescent="0.25">
      <c r="A238" s="5" t="s">
        <v>134</v>
      </c>
      <c r="B238" s="5" t="s">
        <v>135</v>
      </c>
      <c r="C238" s="5" t="s">
        <v>13</v>
      </c>
      <c r="D238" s="5" t="str">
        <f t="shared" si="36"/>
        <v>U14</v>
      </c>
      <c r="E238" s="2">
        <v>2007</v>
      </c>
      <c r="F238" s="5" t="s">
        <v>150</v>
      </c>
      <c r="G238" s="5" t="str">
        <f t="shared" si="37"/>
        <v>-42kg</v>
      </c>
      <c r="H238" s="5">
        <v>407364</v>
      </c>
      <c r="I238" s="5" t="s">
        <v>17</v>
      </c>
      <c r="J238" s="5" t="s">
        <v>165</v>
      </c>
      <c r="K238" s="5" t="s">
        <v>10</v>
      </c>
      <c r="L238" s="5" t="s">
        <v>10</v>
      </c>
      <c r="M238" s="5" t="s">
        <v>208</v>
      </c>
    </row>
    <row r="239" spans="1:13" x14ac:dyDescent="0.25">
      <c r="A239" s="5" t="s">
        <v>136</v>
      </c>
      <c r="B239" s="5" t="s">
        <v>137</v>
      </c>
      <c r="C239" s="5" t="s">
        <v>13</v>
      </c>
      <c r="D239" s="5" t="str">
        <f t="shared" si="36"/>
        <v>U14</v>
      </c>
      <c r="E239" s="2">
        <v>2006</v>
      </c>
      <c r="F239" s="5" t="s">
        <v>150</v>
      </c>
      <c r="G239" s="5" t="str">
        <f t="shared" si="37"/>
        <v>-42kg</v>
      </c>
      <c r="H239" s="5">
        <v>203463</v>
      </c>
      <c r="I239" s="5" t="s">
        <v>17</v>
      </c>
      <c r="J239" s="5" t="s">
        <v>172</v>
      </c>
      <c r="K239" s="5" t="s">
        <v>10</v>
      </c>
      <c r="L239" s="5" t="s">
        <v>10</v>
      </c>
      <c r="M239" s="5" t="s">
        <v>208</v>
      </c>
    </row>
    <row r="240" spans="1:13" x14ac:dyDescent="0.25">
      <c r="A240" s="5" t="str">
        <f>"Rassoul"</f>
        <v>Rassoul</v>
      </c>
      <c r="B240" s="5" t="str">
        <f>"Kitaev"</f>
        <v>Kitaev</v>
      </c>
      <c r="C240" s="5" t="str">
        <f t="shared" ref="C240:C247" si="38">"M"</f>
        <v>M</v>
      </c>
      <c r="D240" s="5" t="str">
        <f t="shared" si="36"/>
        <v>U14</v>
      </c>
      <c r="E240" s="2">
        <v>2007</v>
      </c>
      <c r="F240" s="5" t="str">
        <f>"Club de judo Olympique"</f>
        <v>Club de judo Olympique</v>
      </c>
      <c r="G240" s="5" t="str">
        <f t="shared" si="37"/>
        <v>-42kg</v>
      </c>
      <c r="H240" s="5" t="str">
        <f>"0410454"</f>
        <v>0410454</v>
      </c>
      <c r="I240" s="5" t="str">
        <f t="shared" ref="I240:I247" si="39">"QC"</f>
        <v>QC</v>
      </c>
      <c r="J240" s="5" t="s">
        <v>166</v>
      </c>
      <c r="K240" s="5" t="str">
        <f>""</f>
        <v/>
      </c>
      <c r="L240" s="5" t="str">
        <f>""</f>
        <v/>
      </c>
      <c r="M240" s="5" t="s">
        <v>208</v>
      </c>
    </row>
    <row r="241" spans="1:13" x14ac:dyDescent="0.25">
      <c r="A241" s="5" t="str">
        <f>"Thomas"</f>
        <v>Thomas</v>
      </c>
      <c r="B241" s="5" t="str">
        <f>"Manigat"</f>
        <v>Manigat</v>
      </c>
      <c r="C241" s="5" t="str">
        <f t="shared" si="38"/>
        <v>M</v>
      </c>
      <c r="D241" s="5" t="str">
        <f t="shared" si="36"/>
        <v>U14</v>
      </c>
      <c r="E241" s="2">
        <v>2007</v>
      </c>
      <c r="F241" s="5" t="str">
        <f>"Club de judo Shidokan inc."</f>
        <v>Club de judo Shidokan inc.</v>
      </c>
      <c r="G241" s="5" t="str">
        <f t="shared" si="37"/>
        <v>-42kg</v>
      </c>
      <c r="H241" s="5" t="str">
        <f>"0231759"</f>
        <v>0231759</v>
      </c>
      <c r="I241" s="5" t="str">
        <f t="shared" si="39"/>
        <v>QC</v>
      </c>
      <c r="J241" s="5" t="s">
        <v>171</v>
      </c>
      <c r="K241" s="5" t="str">
        <f>""</f>
        <v/>
      </c>
      <c r="L241" s="5" t="str">
        <f>""</f>
        <v/>
      </c>
      <c r="M241" s="5" t="s">
        <v>208</v>
      </c>
    </row>
    <row r="242" spans="1:13" x14ac:dyDescent="0.25">
      <c r="A242" s="6" t="str">
        <f>"Yanis"</f>
        <v>Yanis</v>
      </c>
      <c r="B242" s="6" t="str">
        <f>"Bélal"</f>
        <v>Bélal</v>
      </c>
      <c r="C242" s="6" t="str">
        <f t="shared" si="38"/>
        <v>M</v>
      </c>
      <c r="D242" s="6" t="str">
        <f t="shared" si="36"/>
        <v>U14</v>
      </c>
      <c r="E242" s="2">
        <v>2007</v>
      </c>
      <c r="F242" s="6" t="str">
        <f>"Club de judo Olympique"</f>
        <v>Club de judo Olympique</v>
      </c>
      <c r="G242" s="6" t="str">
        <f t="shared" si="37"/>
        <v>-42kg</v>
      </c>
      <c r="H242" s="6" t="str">
        <f>"0185406"</f>
        <v>0185406</v>
      </c>
      <c r="I242" s="6" t="str">
        <f t="shared" si="39"/>
        <v>QC</v>
      </c>
      <c r="J242" s="6" t="s">
        <v>175</v>
      </c>
      <c r="K242" s="6" t="str">
        <f>""</f>
        <v/>
      </c>
      <c r="L242" s="6" t="str">
        <f>""</f>
        <v/>
      </c>
      <c r="M242" s="6" t="s">
        <v>203</v>
      </c>
    </row>
    <row r="243" spans="1:13" x14ac:dyDescent="0.25">
      <c r="A243" s="6" t="str">
        <f>"Renaud"</f>
        <v>Renaud</v>
      </c>
      <c r="B243" s="6" t="str">
        <f>"Chaunet"</f>
        <v>Chaunet</v>
      </c>
      <c r="C243" s="6" t="str">
        <f t="shared" si="38"/>
        <v>M</v>
      </c>
      <c r="D243" s="6" t="str">
        <f t="shared" si="36"/>
        <v>U14</v>
      </c>
      <c r="E243" s="2">
        <v>2006</v>
      </c>
      <c r="F243" s="6" t="str">
        <f>"Club de judo de la vieille capitale"</f>
        <v>Club de judo de la vieille capitale</v>
      </c>
      <c r="G243" s="6" t="str">
        <f t="shared" si="37"/>
        <v>-42kg</v>
      </c>
      <c r="H243" s="6" t="str">
        <f>"0198056"</f>
        <v>0198056</v>
      </c>
      <c r="I243" s="6" t="str">
        <f t="shared" si="39"/>
        <v>QC</v>
      </c>
      <c r="J243" s="6" t="s">
        <v>163</v>
      </c>
      <c r="K243" s="6" t="str">
        <f>""</f>
        <v/>
      </c>
      <c r="L243" s="6" t="str">
        <f>""</f>
        <v/>
      </c>
      <c r="M243" s="6" t="s">
        <v>203</v>
      </c>
    </row>
    <row r="244" spans="1:13" x14ac:dyDescent="0.25">
      <c r="A244" s="6" t="str">
        <f>"Nathaniel"</f>
        <v>Nathaniel</v>
      </c>
      <c r="B244" s="6" t="str">
        <f>"De Souza"</f>
        <v>De Souza</v>
      </c>
      <c r="C244" s="6" t="str">
        <f t="shared" si="38"/>
        <v>M</v>
      </c>
      <c r="D244" s="6" t="str">
        <f t="shared" si="36"/>
        <v>U14</v>
      </c>
      <c r="E244" s="2">
        <v>2006</v>
      </c>
      <c r="F244" s="6" t="str">
        <f>"Dojo Perrot Shima"</f>
        <v>Dojo Perrot Shima</v>
      </c>
      <c r="G244" s="6" t="str">
        <f t="shared" si="37"/>
        <v>-42kg</v>
      </c>
      <c r="H244" s="6" t="str">
        <f>"0214904"</f>
        <v>0214904</v>
      </c>
      <c r="I244" s="6" t="str">
        <f t="shared" si="39"/>
        <v>QC</v>
      </c>
      <c r="J244" s="6" t="s">
        <v>174</v>
      </c>
      <c r="K244" s="6" t="str">
        <f>""</f>
        <v/>
      </c>
      <c r="L244" s="6" t="str">
        <f>""</f>
        <v/>
      </c>
      <c r="M244" s="6" t="s">
        <v>203</v>
      </c>
    </row>
    <row r="245" spans="1:13" x14ac:dyDescent="0.25">
      <c r="A245" s="6" t="str">
        <f>"Esteban"</f>
        <v>Esteban</v>
      </c>
      <c r="B245" s="6" t="str">
        <f>"Fournier"</f>
        <v>Fournier</v>
      </c>
      <c r="C245" s="6" t="str">
        <f t="shared" si="38"/>
        <v>M</v>
      </c>
      <c r="D245" s="6" t="str">
        <f t="shared" si="36"/>
        <v>U14</v>
      </c>
      <c r="E245" s="2">
        <v>2006</v>
      </c>
      <c r="F245" s="6" t="str">
        <f>"Club de judo Seïkidokan inc."</f>
        <v>Club de judo Seïkidokan inc.</v>
      </c>
      <c r="G245" s="6" t="str">
        <f t="shared" si="37"/>
        <v>-42kg</v>
      </c>
      <c r="H245" s="6" t="str">
        <f>"0223992"</f>
        <v>0223992</v>
      </c>
      <c r="I245" s="6" t="str">
        <f t="shared" si="39"/>
        <v>QC</v>
      </c>
      <c r="J245" s="6" t="s">
        <v>174</v>
      </c>
      <c r="K245" s="6" t="str">
        <f>""</f>
        <v/>
      </c>
      <c r="L245" s="6" t="str">
        <f>""</f>
        <v/>
      </c>
      <c r="M245" s="6" t="s">
        <v>203</v>
      </c>
    </row>
    <row r="246" spans="1:13" x14ac:dyDescent="0.25">
      <c r="A246" s="6" t="str">
        <f>"Aymane"</f>
        <v>Aymane</v>
      </c>
      <c r="B246" s="6" t="str">
        <f>"Hadj-Bachir"</f>
        <v>Hadj-Bachir</v>
      </c>
      <c r="C246" s="6" t="str">
        <f t="shared" si="38"/>
        <v>M</v>
      </c>
      <c r="D246" s="6" t="str">
        <f t="shared" si="36"/>
        <v>U14</v>
      </c>
      <c r="E246" s="2">
        <v>2006</v>
      </c>
      <c r="F246" s="6" t="str">
        <f>"Club de judo Métropolitain inc."</f>
        <v>Club de judo Métropolitain inc.</v>
      </c>
      <c r="G246" s="6" t="str">
        <f t="shared" si="37"/>
        <v>-42kg</v>
      </c>
      <c r="H246" s="6" t="str">
        <f>"0199934"</f>
        <v>0199934</v>
      </c>
      <c r="I246" s="6" t="str">
        <f t="shared" si="39"/>
        <v>QC</v>
      </c>
      <c r="J246" s="6" t="s">
        <v>174</v>
      </c>
      <c r="K246" s="6" t="str">
        <f>""</f>
        <v/>
      </c>
      <c r="L246" s="6" t="str">
        <f>""</f>
        <v/>
      </c>
      <c r="M246" s="6" t="s">
        <v>203</v>
      </c>
    </row>
    <row r="247" spans="1:13" x14ac:dyDescent="0.25">
      <c r="A247" s="6" t="str">
        <f>"Victor"</f>
        <v>Victor</v>
      </c>
      <c r="B247" s="6" t="str">
        <f>"Laberge"</f>
        <v>Laberge</v>
      </c>
      <c r="C247" s="6" t="str">
        <f t="shared" si="38"/>
        <v>M</v>
      </c>
      <c r="D247" s="6" t="str">
        <f t="shared" si="36"/>
        <v>U14</v>
      </c>
      <c r="E247" s="2">
        <v>2006</v>
      </c>
      <c r="F247" s="6" t="str">
        <f>"Club de judo de la vieille capitale"</f>
        <v>Club de judo de la vieille capitale</v>
      </c>
      <c r="G247" s="6" t="str">
        <f t="shared" si="37"/>
        <v>-42kg</v>
      </c>
      <c r="H247" s="6" t="str">
        <f>"0207176"</f>
        <v>0207176</v>
      </c>
      <c r="I247" s="6" t="str">
        <f t="shared" si="39"/>
        <v>QC</v>
      </c>
      <c r="J247" s="6" t="s">
        <v>163</v>
      </c>
      <c r="K247" s="6" t="str">
        <f>""</f>
        <v/>
      </c>
      <c r="L247" s="6" t="str">
        <f>""</f>
        <v/>
      </c>
      <c r="M247" s="6" t="s">
        <v>203</v>
      </c>
    </row>
    <row r="248" spans="1:13" x14ac:dyDescent="0.25">
      <c r="A248" s="6" t="s">
        <v>131</v>
      </c>
      <c r="B248" s="6" t="s">
        <v>132</v>
      </c>
      <c r="C248" s="6" t="s">
        <v>13</v>
      </c>
      <c r="D248" s="6" t="str">
        <f t="shared" si="36"/>
        <v>U14</v>
      </c>
      <c r="E248" s="2">
        <v>2007</v>
      </c>
      <c r="F248" s="6" t="s">
        <v>150</v>
      </c>
      <c r="G248" s="6" t="str">
        <f t="shared" si="37"/>
        <v>-42kg</v>
      </c>
      <c r="H248" s="6">
        <v>190985</v>
      </c>
      <c r="I248" s="6" t="s">
        <v>17</v>
      </c>
      <c r="J248" s="6" t="s">
        <v>174</v>
      </c>
      <c r="K248" s="6" t="s">
        <v>10</v>
      </c>
      <c r="L248" s="6" t="s">
        <v>10</v>
      </c>
      <c r="M248" s="6" t="s">
        <v>203</v>
      </c>
    </row>
    <row r="249" spans="1:13" x14ac:dyDescent="0.25">
      <c r="A249" s="6" t="str">
        <f>"Luca"</f>
        <v>Luca</v>
      </c>
      <c r="B249" s="6" t="str">
        <f>"Nephtali"</f>
        <v>Nephtali</v>
      </c>
      <c r="C249" s="6" t="str">
        <f t="shared" ref="C249:C256" si="40">"M"</f>
        <v>M</v>
      </c>
      <c r="D249" s="6" t="str">
        <f t="shared" si="36"/>
        <v>U14</v>
      </c>
      <c r="E249" s="2">
        <v>2006</v>
      </c>
      <c r="F249" s="6" t="str">
        <f>"Club de Judo Boucherville inc."</f>
        <v>Club de Judo Boucherville inc.</v>
      </c>
      <c r="G249" s="6" t="str">
        <f t="shared" si="37"/>
        <v>-42kg</v>
      </c>
      <c r="H249" s="6" t="str">
        <f>"0177243"</f>
        <v>0177243</v>
      </c>
      <c r="I249" s="6" t="str">
        <f>"QC"</f>
        <v>QC</v>
      </c>
      <c r="J249" s="6" t="s">
        <v>175</v>
      </c>
      <c r="K249" s="6" t="str">
        <f>""</f>
        <v/>
      </c>
      <c r="L249" s="6" t="str">
        <f>""</f>
        <v/>
      </c>
      <c r="M249" s="6" t="s">
        <v>203</v>
      </c>
    </row>
    <row r="250" spans="1:13" x14ac:dyDescent="0.25">
      <c r="A250" s="6" t="str">
        <f>"Artem"</f>
        <v>Artem</v>
      </c>
      <c r="B250" s="6" t="str">
        <f>"Neyolov"</f>
        <v>Neyolov</v>
      </c>
      <c r="C250" s="6" t="str">
        <f t="shared" si="40"/>
        <v>M</v>
      </c>
      <c r="D250" s="6" t="str">
        <f t="shared" si="36"/>
        <v>U14</v>
      </c>
      <c r="E250" s="2">
        <v>2006</v>
      </c>
      <c r="F250" s="6" t="str">
        <f>"Taifu Judo Club"</f>
        <v>Taifu Judo Club</v>
      </c>
      <c r="G250" s="6" t="str">
        <f t="shared" si="37"/>
        <v>-42kg</v>
      </c>
      <c r="H250" s="6" t="str">
        <f>"0193583"</f>
        <v>0193583</v>
      </c>
      <c r="I250" s="6" t="str">
        <f>"ON"</f>
        <v>ON</v>
      </c>
      <c r="J250" s="6" t="s">
        <v>174</v>
      </c>
      <c r="K250" s="6" t="str">
        <f>""</f>
        <v/>
      </c>
      <c r="L250" s="6" t="str">
        <f>""</f>
        <v/>
      </c>
      <c r="M250" s="6" t="s">
        <v>203</v>
      </c>
    </row>
    <row r="251" spans="1:13" x14ac:dyDescent="0.25">
      <c r="A251" s="6" t="str">
        <f>"Denis"</f>
        <v>Denis</v>
      </c>
      <c r="B251" s="6" t="str">
        <f>"Neyolov"</f>
        <v>Neyolov</v>
      </c>
      <c r="C251" s="6" t="str">
        <f t="shared" si="40"/>
        <v>M</v>
      </c>
      <c r="D251" s="6" t="str">
        <f t="shared" si="36"/>
        <v>U14</v>
      </c>
      <c r="E251" s="2">
        <v>2006</v>
      </c>
      <c r="F251" s="6" t="str">
        <f>"Taifu Judo Club"</f>
        <v>Taifu Judo Club</v>
      </c>
      <c r="G251" s="6" t="str">
        <f t="shared" si="37"/>
        <v>-42kg</v>
      </c>
      <c r="H251" s="6" t="str">
        <f>"0192343"</f>
        <v>0192343</v>
      </c>
      <c r="I251" s="6" t="str">
        <f>"ON"</f>
        <v>ON</v>
      </c>
      <c r="J251" s="6" t="s">
        <v>174</v>
      </c>
      <c r="K251" s="6" t="str">
        <f>""</f>
        <v/>
      </c>
      <c r="L251" s="6" t="str">
        <f>""</f>
        <v/>
      </c>
      <c r="M251" s="6" t="s">
        <v>203</v>
      </c>
    </row>
    <row r="252" spans="1:13" x14ac:dyDescent="0.25">
      <c r="A252" s="6" t="str">
        <f>"Gabriel"</f>
        <v>Gabriel</v>
      </c>
      <c r="B252" s="6" t="str">
        <f>"Nisimov"</f>
        <v>Nisimov</v>
      </c>
      <c r="C252" s="6" t="str">
        <f t="shared" si="40"/>
        <v>M</v>
      </c>
      <c r="D252" s="6" t="str">
        <f t="shared" si="36"/>
        <v>U14</v>
      </c>
      <c r="E252" s="2">
        <v>2006</v>
      </c>
      <c r="F252" s="6" t="str">
        <f>"Olympic Judo Centre"</f>
        <v>Olympic Judo Centre</v>
      </c>
      <c r="G252" s="6" t="str">
        <f t="shared" si="37"/>
        <v>-42kg</v>
      </c>
      <c r="H252" s="6" t="str">
        <f>"0205008"</f>
        <v>0205008</v>
      </c>
      <c r="I252" s="6" t="str">
        <f>"ON"</f>
        <v>ON</v>
      </c>
      <c r="J252" s="6" t="s">
        <v>175</v>
      </c>
      <c r="K252" s="6" t="str">
        <f>""</f>
        <v/>
      </c>
      <c r="L252" s="6" t="str">
        <f>""</f>
        <v/>
      </c>
      <c r="M252" s="6" t="s">
        <v>203</v>
      </c>
    </row>
    <row r="253" spans="1:13" x14ac:dyDescent="0.25">
      <c r="A253" s="6" t="str">
        <f>"Zachary"</f>
        <v>Zachary</v>
      </c>
      <c r="B253" s="6" t="str">
        <f>"Raymond"</f>
        <v>Raymond</v>
      </c>
      <c r="C253" s="6" t="str">
        <f t="shared" si="40"/>
        <v>M</v>
      </c>
      <c r="D253" s="6" t="str">
        <f t="shared" si="36"/>
        <v>U14</v>
      </c>
      <c r="E253" s="2">
        <v>2006</v>
      </c>
      <c r="F253" s="6" t="str">
        <f>"Club de judo St-Jean Bosco de Hull"</f>
        <v>Club de judo St-Jean Bosco de Hull</v>
      </c>
      <c r="G253" s="6" t="str">
        <f t="shared" si="37"/>
        <v>-42kg</v>
      </c>
      <c r="H253" s="6" t="str">
        <f>"0180033"</f>
        <v>0180033</v>
      </c>
      <c r="I253" s="6" t="str">
        <f>"QC"</f>
        <v>QC</v>
      </c>
      <c r="J253" s="6" t="s">
        <v>174</v>
      </c>
      <c r="K253" s="6" t="str">
        <f>""</f>
        <v/>
      </c>
      <c r="L253" s="6" t="str">
        <f>""</f>
        <v/>
      </c>
      <c r="M253" s="6" t="s">
        <v>203</v>
      </c>
    </row>
    <row r="254" spans="1:13" x14ac:dyDescent="0.25">
      <c r="A254" s="6" t="str">
        <f>"Isaac"</f>
        <v>Isaac</v>
      </c>
      <c r="B254" s="6" t="str">
        <f>"Roy"</f>
        <v>Roy</v>
      </c>
      <c r="C254" s="6" t="str">
        <f t="shared" si="40"/>
        <v>M</v>
      </c>
      <c r="D254" s="6" t="str">
        <f t="shared" si="36"/>
        <v>U14</v>
      </c>
      <c r="E254" s="2">
        <v>2006</v>
      </c>
      <c r="F254" s="6" t="str">
        <f>"Club de Judo d'Asbestos-Danville"</f>
        <v>Club de Judo d'Asbestos-Danville</v>
      </c>
      <c r="G254" s="6" t="str">
        <f t="shared" si="37"/>
        <v>-42kg</v>
      </c>
      <c r="H254" s="6" t="str">
        <f>"0182687"</f>
        <v>0182687</v>
      </c>
      <c r="I254" s="6" t="str">
        <f>"QC"</f>
        <v>QC</v>
      </c>
      <c r="J254" s="6" t="s">
        <v>175</v>
      </c>
      <c r="K254" s="6" t="str">
        <f>""</f>
        <v/>
      </c>
      <c r="L254" s="6" t="str">
        <f>""</f>
        <v/>
      </c>
      <c r="M254" s="6" t="s">
        <v>203</v>
      </c>
    </row>
    <row r="255" spans="1:13" x14ac:dyDescent="0.25">
      <c r="A255" s="6" t="str">
        <f>"Raphael"</f>
        <v>Raphael</v>
      </c>
      <c r="B255" s="6" t="str">
        <f>"Simard"</f>
        <v>Simard</v>
      </c>
      <c r="C255" s="6" t="str">
        <f t="shared" si="40"/>
        <v>M</v>
      </c>
      <c r="D255" s="6" t="str">
        <f t="shared" si="36"/>
        <v>U14</v>
      </c>
      <c r="E255" s="2">
        <v>2006</v>
      </c>
      <c r="F255" s="6" t="str">
        <f>"Club de Judo Haut-Richelieu"</f>
        <v>Club de Judo Haut-Richelieu</v>
      </c>
      <c r="G255" s="6" t="str">
        <f t="shared" si="37"/>
        <v>-42kg</v>
      </c>
      <c r="H255" s="6" t="str">
        <f>"0222592"</f>
        <v>0222592</v>
      </c>
      <c r="I255" s="6" t="str">
        <f>"QC"</f>
        <v>QC</v>
      </c>
      <c r="J255" s="6" t="s">
        <v>174</v>
      </c>
      <c r="K255" s="6" t="str">
        <f>""</f>
        <v/>
      </c>
      <c r="L255" s="6" t="str">
        <f>""</f>
        <v/>
      </c>
      <c r="M255" s="6" t="s">
        <v>203</v>
      </c>
    </row>
    <row r="256" spans="1:13" x14ac:dyDescent="0.25">
      <c r="A256" s="1" t="str">
        <f>"Hamza"</f>
        <v>Hamza</v>
      </c>
      <c r="B256" s="1" t="str">
        <f>"Bourouiss"</f>
        <v>Bourouiss</v>
      </c>
      <c r="C256" s="1" t="str">
        <f t="shared" si="40"/>
        <v>M</v>
      </c>
      <c r="D256" s="1" t="str">
        <f t="shared" si="36"/>
        <v>U14</v>
      </c>
      <c r="E256" s="2">
        <v>2006</v>
      </c>
      <c r="F256" s="1" t="str">
        <f>"Budokan Saint-Laurent"</f>
        <v>Budokan Saint-Laurent</v>
      </c>
      <c r="G256" s="1" t="str">
        <f t="shared" ref="G256:G271" si="41">"-46kg"</f>
        <v>-46kg</v>
      </c>
      <c r="H256" s="1" t="str">
        <f>"0410066"</f>
        <v>0410066</v>
      </c>
      <c r="I256" s="1" t="str">
        <f>"QC"</f>
        <v>QC</v>
      </c>
      <c r="J256" s="1" t="s">
        <v>165</v>
      </c>
      <c r="K256" s="1" t="str">
        <f>""</f>
        <v/>
      </c>
      <c r="L256" s="1" t="str">
        <f>""</f>
        <v/>
      </c>
      <c r="M256" s="1" t="s">
        <v>214</v>
      </c>
    </row>
    <row r="257" spans="1:13" x14ac:dyDescent="0.25">
      <c r="A257" s="1" t="s">
        <v>133</v>
      </c>
      <c r="B257" s="1" t="s">
        <v>66</v>
      </c>
      <c r="C257" s="1" t="s">
        <v>13</v>
      </c>
      <c r="D257" s="1" t="str">
        <f t="shared" si="36"/>
        <v>U14</v>
      </c>
      <c r="E257" s="2">
        <v>2007</v>
      </c>
      <c r="F257" s="1" t="s">
        <v>150</v>
      </c>
      <c r="G257" s="1" t="str">
        <f t="shared" si="41"/>
        <v>-46kg</v>
      </c>
      <c r="H257" s="1">
        <v>199173</v>
      </c>
      <c r="I257" s="1" t="s">
        <v>17</v>
      </c>
      <c r="J257" s="1" t="s">
        <v>171</v>
      </c>
      <c r="K257" s="1" t="s">
        <v>10</v>
      </c>
      <c r="L257" s="1" t="s">
        <v>10</v>
      </c>
      <c r="M257" s="1" t="s">
        <v>214</v>
      </c>
    </row>
    <row r="258" spans="1:13" x14ac:dyDescent="0.25">
      <c r="A258" s="1" t="str">
        <f>"Léo"</f>
        <v>Léo</v>
      </c>
      <c r="B258" s="1" t="str">
        <f>"Lajoie"</f>
        <v>Lajoie</v>
      </c>
      <c r="C258" s="1" t="str">
        <f t="shared" ref="C258:C274" si="42">"M"</f>
        <v>M</v>
      </c>
      <c r="D258" s="1" t="str">
        <f t="shared" si="36"/>
        <v>U14</v>
      </c>
      <c r="E258" s="2">
        <v>2006</v>
      </c>
      <c r="F258" s="1" t="str">
        <f>"Kiseki Judo"</f>
        <v>Kiseki Judo</v>
      </c>
      <c r="G258" s="1" t="str">
        <f t="shared" si="41"/>
        <v>-46kg</v>
      </c>
      <c r="H258" s="1" t="str">
        <f>"0173383"</f>
        <v>0173383</v>
      </c>
      <c r="I258" s="1" t="str">
        <f>"QC"</f>
        <v>QC</v>
      </c>
      <c r="J258" s="1" t="s">
        <v>171</v>
      </c>
      <c r="K258" s="1" t="str">
        <f>""</f>
        <v/>
      </c>
      <c r="L258" s="1" t="str">
        <f>""</f>
        <v/>
      </c>
      <c r="M258" s="1" t="s">
        <v>214</v>
      </c>
    </row>
    <row r="259" spans="1:13" x14ac:dyDescent="0.25">
      <c r="A259" s="1" t="str">
        <f>"Jerry Nadal"</f>
        <v>Jerry Nadal</v>
      </c>
      <c r="B259" s="1" t="str">
        <f>"Ngamaleu"</f>
        <v>Ngamaleu</v>
      </c>
      <c r="C259" s="1" t="str">
        <f t="shared" si="42"/>
        <v>M</v>
      </c>
      <c r="D259" s="1" t="str">
        <f t="shared" si="36"/>
        <v>U14</v>
      </c>
      <c r="E259" s="2">
        <v>2007</v>
      </c>
      <c r="F259" s="1" t="str">
        <f>"Arts martiaux Budokai inc."</f>
        <v>Arts martiaux Budokai inc.</v>
      </c>
      <c r="G259" s="1" t="str">
        <f t="shared" si="41"/>
        <v>-46kg</v>
      </c>
      <c r="H259" s="1" t="str">
        <f>"0407821"</f>
        <v>0407821</v>
      </c>
      <c r="I259" s="1" t="str">
        <f>"QC"</f>
        <v>QC</v>
      </c>
      <c r="J259" s="1" t="s">
        <v>171</v>
      </c>
      <c r="K259" s="1" t="str">
        <f>""</f>
        <v/>
      </c>
      <c r="L259" s="1" t="str">
        <f>""</f>
        <v/>
      </c>
      <c r="M259" s="1" t="s">
        <v>214</v>
      </c>
    </row>
    <row r="260" spans="1:13" x14ac:dyDescent="0.25">
      <c r="A260" s="1" t="str">
        <f>"Matis"</f>
        <v>Matis</v>
      </c>
      <c r="B260" s="1" t="str">
        <f>"Pelerin"</f>
        <v>Pelerin</v>
      </c>
      <c r="C260" s="1" t="str">
        <f t="shared" si="42"/>
        <v>M</v>
      </c>
      <c r="D260" s="1" t="str">
        <f t="shared" si="36"/>
        <v>U14</v>
      </c>
      <c r="E260" s="2">
        <v>2006</v>
      </c>
      <c r="F260" s="1" t="str">
        <f>"Club de judo St-Jean Bosco de Hull"</f>
        <v>Club de judo St-Jean Bosco de Hull</v>
      </c>
      <c r="G260" s="1" t="str">
        <f t="shared" si="41"/>
        <v>-46kg</v>
      </c>
      <c r="H260" s="1" t="str">
        <f>"0225249"</f>
        <v>0225249</v>
      </c>
      <c r="I260" s="1" t="str">
        <f>"QC"</f>
        <v>QC</v>
      </c>
      <c r="J260" s="1" t="s">
        <v>171</v>
      </c>
      <c r="K260" s="1" t="str">
        <f>""</f>
        <v/>
      </c>
      <c r="L260" s="1" t="str">
        <f>""</f>
        <v/>
      </c>
      <c r="M260" s="1" t="s">
        <v>214</v>
      </c>
    </row>
    <row r="261" spans="1:13" x14ac:dyDescent="0.25">
      <c r="A261" s="1" t="str">
        <f>"Georgios"</f>
        <v>Georgios</v>
      </c>
      <c r="B261" s="1" t="str">
        <f>"Sevastidis"</f>
        <v>Sevastidis</v>
      </c>
      <c r="C261" s="1" t="str">
        <f t="shared" si="42"/>
        <v>M</v>
      </c>
      <c r="D261" s="1" t="str">
        <f t="shared" si="36"/>
        <v>U14</v>
      </c>
      <c r="E261" s="2">
        <v>2006</v>
      </c>
      <c r="F261" s="1" t="str">
        <f>"Olympic Judo Centre"</f>
        <v>Olympic Judo Centre</v>
      </c>
      <c r="G261" s="1" t="str">
        <f t="shared" si="41"/>
        <v>-46kg</v>
      </c>
      <c r="H261" s="1" t="str">
        <f>"0235446"</f>
        <v>0235446</v>
      </c>
      <c r="I261" s="1" t="str">
        <f>"ON"</f>
        <v>ON</v>
      </c>
      <c r="J261" s="1" t="s">
        <v>172</v>
      </c>
      <c r="K261" s="1" t="str">
        <f>""</f>
        <v/>
      </c>
      <c r="L261" s="1" t="str">
        <f>""</f>
        <v/>
      </c>
      <c r="M261" s="1" t="s">
        <v>214</v>
      </c>
    </row>
    <row r="262" spans="1:13" x14ac:dyDescent="0.25">
      <c r="A262" s="1" t="str">
        <f>"Davit"</f>
        <v>Davit</v>
      </c>
      <c r="B262" s="1" t="str">
        <f>"Ukhurgunashvili"</f>
        <v>Ukhurgunashvili</v>
      </c>
      <c r="C262" s="1" t="str">
        <f t="shared" si="42"/>
        <v>M</v>
      </c>
      <c r="D262" s="1" t="str">
        <f t="shared" si="36"/>
        <v>U14</v>
      </c>
      <c r="E262" s="2">
        <v>2007</v>
      </c>
      <c r="F262" s="1" t="str">
        <f>"Olympic Judo Centre"</f>
        <v>Olympic Judo Centre</v>
      </c>
      <c r="G262" s="1" t="str">
        <f t="shared" si="41"/>
        <v>-46kg</v>
      </c>
      <c r="H262" s="1" t="str">
        <f>"0232247"</f>
        <v>0232247</v>
      </c>
      <c r="I262" s="1" t="str">
        <f>"ON"</f>
        <v>ON</v>
      </c>
      <c r="J262" s="1" t="s">
        <v>172</v>
      </c>
      <c r="K262" s="1" t="str">
        <f>""</f>
        <v/>
      </c>
      <c r="L262" s="1" t="str">
        <f>""</f>
        <v/>
      </c>
      <c r="M262" s="1" t="s">
        <v>214</v>
      </c>
    </row>
    <row r="263" spans="1:13" x14ac:dyDescent="0.25">
      <c r="A263" s="7" t="str">
        <f>"Adam"</f>
        <v>Adam</v>
      </c>
      <c r="B263" s="7" t="str">
        <f>"Alaoui Yazidi"</f>
        <v>Alaoui Yazidi</v>
      </c>
      <c r="C263" s="7" t="str">
        <f t="shared" si="42"/>
        <v>M</v>
      </c>
      <c r="D263" s="7" t="str">
        <f t="shared" si="36"/>
        <v>U14</v>
      </c>
      <c r="E263" s="2">
        <v>2006</v>
      </c>
      <c r="F263" s="7" t="str">
        <f>"Budokan Saint-Laurent"</f>
        <v>Budokan Saint-Laurent</v>
      </c>
      <c r="G263" s="7" t="str">
        <f t="shared" si="41"/>
        <v>-46kg</v>
      </c>
      <c r="H263" s="7" t="str">
        <f>"0188082"</f>
        <v>0188082</v>
      </c>
      <c r="I263" s="7" t="str">
        <f t="shared" ref="I263:I294" si="43">"QC"</f>
        <v>QC</v>
      </c>
      <c r="J263" s="7" t="s">
        <v>174</v>
      </c>
      <c r="K263" s="7" t="str">
        <f>""</f>
        <v/>
      </c>
      <c r="L263" s="7" t="str">
        <f>""</f>
        <v/>
      </c>
      <c r="M263" s="7" t="s">
        <v>202</v>
      </c>
    </row>
    <row r="264" spans="1:13" x14ac:dyDescent="0.25">
      <c r="A264" s="7" t="str">
        <f>"Adrien"</f>
        <v>Adrien</v>
      </c>
      <c r="B264" s="7" t="str">
        <f>"Ampleman"</f>
        <v>Ampleman</v>
      </c>
      <c r="C264" s="7" t="str">
        <f t="shared" si="42"/>
        <v>M</v>
      </c>
      <c r="D264" s="7" t="str">
        <f t="shared" si="36"/>
        <v>U14</v>
      </c>
      <c r="E264" s="2">
        <v>2006</v>
      </c>
      <c r="F264" s="7" t="str">
        <f>"Club de judo de la vieille capitale"</f>
        <v>Club de judo de la vieille capitale</v>
      </c>
      <c r="G264" s="7" t="str">
        <f t="shared" si="41"/>
        <v>-46kg</v>
      </c>
      <c r="H264" s="7" t="str">
        <f>"0198064"</f>
        <v>0198064</v>
      </c>
      <c r="I264" s="7" t="str">
        <f t="shared" si="43"/>
        <v>QC</v>
      </c>
      <c r="J264" s="7" t="s">
        <v>174</v>
      </c>
      <c r="K264" s="7" t="str">
        <f>""</f>
        <v/>
      </c>
      <c r="L264" s="7" t="str">
        <f>""</f>
        <v/>
      </c>
      <c r="M264" s="7" t="s">
        <v>202</v>
      </c>
    </row>
    <row r="265" spans="1:13" x14ac:dyDescent="0.25">
      <c r="A265" s="7" t="str">
        <f>"Nathan"</f>
        <v>Nathan</v>
      </c>
      <c r="B265" s="7" t="str">
        <f>"Champagne"</f>
        <v>Champagne</v>
      </c>
      <c r="C265" s="7" t="str">
        <f t="shared" si="42"/>
        <v>M</v>
      </c>
      <c r="D265" s="7" t="str">
        <f t="shared" ref="D265:D298" si="44">"U14"</f>
        <v>U14</v>
      </c>
      <c r="E265" s="2">
        <v>2006</v>
      </c>
      <c r="F265" s="7" t="str">
        <f>"Hontaï Dojo"</f>
        <v>Hontaï Dojo</v>
      </c>
      <c r="G265" s="7" t="str">
        <f t="shared" si="41"/>
        <v>-46kg</v>
      </c>
      <c r="H265" s="7" t="str">
        <f>"0194258"</f>
        <v>0194258</v>
      </c>
      <c r="I265" s="7" t="str">
        <f t="shared" si="43"/>
        <v>QC</v>
      </c>
      <c r="J265" s="7" t="s">
        <v>175</v>
      </c>
      <c r="K265" s="7" t="str">
        <f>""</f>
        <v/>
      </c>
      <c r="L265" s="7" t="str">
        <f>""</f>
        <v/>
      </c>
      <c r="M265" s="7" t="s">
        <v>202</v>
      </c>
    </row>
    <row r="266" spans="1:13" x14ac:dyDescent="0.25">
      <c r="A266" s="7" t="str">
        <f>"Noah"</f>
        <v>Noah</v>
      </c>
      <c r="B266" s="7" t="str">
        <f>"Dion"</f>
        <v>Dion</v>
      </c>
      <c r="C266" s="7" t="str">
        <f t="shared" si="42"/>
        <v>M</v>
      </c>
      <c r="D266" s="7" t="str">
        <f t="shared" si="44"/>
        <v>U14</v>
      </c>
      <c r="E266" s="2">
        <v>2007</v>
      </c>
      <c r="F266" s="7" t="str">
        <f>"Club de judo Torakai"</f>
        <v>Club de judo Torakai</v>
      </c>
      <c r="G266" s="7" t="str">
        <f t="shared" si="41"/>
        <v>-46kg</v>
      </c>
      <c r="H266" s="7" t="str">
        <f>"0199352"</f>
        <v>0199352</v>
      </c>
      <c r="I266" s="7" t="str">
        <f t="shared" si="43"/>
        <v>QC</v>
      </c>
      <c r="J266" s="7" t="s">
        <v>174</v>
      </c>
      <c r="K266" s="7" t="str">
        <f>""</f>
        <v/>
      </c>
      <c r="L266" s="7" t="str">
        <f>""</f>
        <v/>
      </c>
      <c r="M266" s="7" t="s">
        <v>202</v>
      </c>
    </row>
    <row r="267" spans="1:13" x14ac:dyDescent="0.25">
      <c r="A267" s="7" t="str">
        <f>"Hans"</f>
        <v>Hans</v>
      </c>
      <c r="B267" s="7" t="str">
        <f>"Fontaine"</f>
        <v>Fontaine</v>
      </c>
      <c r="C267" s="7" t="str">
        <f t="shared" si="42"/>
        <v>M</v>
      </c>
      <c r="D267" s="7" t="str">
        <f t="shared" si="44"/>
        <v>U14</v>
      </c>
      <c r="E267" s="2">
        <v>2007</v>
      </c>
      <c r="F267" s="7" t="str">
        <f>"Club de judo Vallée du Richelieu"</f>
        <v>Club de judo Vallée du Richelieu</v>
      </c>
      <c r="G267" s="7" t="str">
        <f t="shared" si="41"/>
        <v>-46kg</v>
      </c>
      <c r="H267" s="7" t="str">
        <f>"0189854"</f>
        <v>0189854</v>
      </c>
      <c r="I267" s="7" t="str">
        <f t="shared" si="43"/>
        <v>QC</v>
      </c>
      <c r="J267" s="7" t="s">
        <v>163</v>
      </c>
      <c r="K267" s="7" t="str">
        <f>""</f>
        <v/>
      </c>
      <c r="L267" s="7" t="str">
        <f>""</f>
        <v/>
      </c>
      <c r="M267" s="7" t="s">
        <v>202</v>
      </c>
    </row>
    <row r="268" spans="1:13" x14ac:dyDescent="0.25">
      <c r="A268" s="7" t="str">
        <f>"Laurent"</f>
        <v>Laurent</v>
      </c>
      <c r="B268" s="7" t="str">
        <f>"Fraser"</f>
        <v>Fraser</v>
      </c>
      <c r="C268" s="7" t="str">
        <f t="shared" si="42"/>
        <v>M</v>
      </c>
      <c r="D268" s="7" t="str">
        <f t="shared" si="44"/>
        <v>U14</v>
      </c>
      <c r="E268" s="2">
        <v>2006</v>
      </c>
      <c r="F268" s="7" t="str">
        <f>"Club de judo de la vieille capitale"</f>
        <v>Club de judo de la vieille capitale</v>
      </c>
      <c r="G268" s="7" t="str">
        <f t="shared" si="41"/>
        <v>-46kg</v>
      </c>
      <c r="H268" s="7" t="str">
        <f>"0181006"</f>
        <v>0181006</v>
      </c>
      <c r="I268" s="7" t="str">
        <f t="shared" si="43"/>
        <v>QC</v>
      </c>
      <c r="J268" s="7" t="s">
        <v>163</v>
      </c>
      <c r="K268" s="7" t="str">
        <f>""</f>
        <v/>
      </c>
      <c r="L268" s="7" t="str">
        <f>""</f>
        <v/>
      </c>
      <c r="M268" s="7" t="s">
        <v>202</v>
      </c>
    </row>
    <row r="269" spans="1:13" x14ac:dyDescent="0.25">
      <c r="A269" s="7" t="str">
        <f>"Tristan"</f>
        <v>Tristan</v>
      </c>
      <c r="B269" s="7" t="str">
        <f>"Perron"</f>
        <v>Perron</v>
      </c>
      <c r="C269" s="7" t="str">
        <f t="shared" si="42"/>
        <v>M</v>
      </c>
      <c r="D269" s="7" t="str">
        <f t="shared" si="44"/>
        <v>U14</v>
      </c>
      <c r="E269" s="2">
        <v>2006</v>
      </c>
      <c r="F269" s="7" t="str">
        <f>"Dojo Zenshin"</f>
        <v>Dojo Zenshin</v>
      </c>
      <c r="G269" s="7" t="str">
        <f t="shared" si="41"/>
        <v>-46kg</v>
      </c>
      <c r="H269" s="7" t="str">
        <f>"0192355"</f>
        <v>0192355</v>
      </c>
      <c r="I269" s="7" t="str">
        <f t="shared" si="43"/>
        <v>QC</v>
      </c>
      <c r="J269" s="7" t="s">
        <v>174</v>
      </c>
      <c r="K269" s="7" t="str">
        <f>""</f>
        <v/>
      </c>
      <c r="L269" s="7" t="str">
        <f>""</f>
        <v/>
      </c>
      <c r="M269" s="7" t="s">
        <v>202</v>
      </c>
    </row>
    <row r="270" spans="1:13" x14ac:dyDescent="0.25">
      <c r="A270" s="7" t="str">
        <f>"Matéo"</f>
        <v>Matéo</v>
      </c>
      <c r="B270" s="7" t="str">
        <f>"Réglat-Arzate"</f>
        <v>Réglat-Arzate</v>
      </c>
      <c r="C270" s="7" t="str">
        <f t="shared" si="42"/>
        <v>M</v>
      </c>
      <c r="D270" s="7" t="str">
        <f t="shared" si="44"/>
        <v>U14</v>
      </c>
      <c r="E270" s="2">
        <v>2007</v>
      </c>
      <c r="F270" s="7" t="str">
        <f>"Club Judo Mascouche"</f>
        <v>Club Judo Mascouche</v>
      </c>
      <c r="G270" s="7" t="str">
        <f t="shared" si="41"/>
        <v>-46kg</v>
      </c>
      <c r="H270" s="7" t="str">
        <f>"0411027"</f>
        <v>0411027</v>
      </c>
      <c r="I270" s="7" t="str">
        <f t="shared" si="43"/>
        <v>QC</v>
      </c>
      <c r="J270" s="7" t="s">
        <v>174</v>
      </c>
      <c r="K270" s="7" t="str">
        <f>""</f>
        <v/>
      </c>
      <c r="L270" s="7" t="str">
        <f>""</f>
        <v/>
      </c>
      <c r="M270" s="7" t="s">
        <v>202</v>
      </c>
    </row>
    <row r="271" spans="1:13" x14ac:dyDescent="0.25">
      <c r="A271" s="7" t="str">
        <f>"Maxime"</f>
        <v>Maxime</v>
      </c>
      <c r="B271" s="7" t="str">
        <f>"Viel"</f>
        <v>Viel</v>
      </c>
      <c r="C271" s="7" t="str">
        <f t="shared" si="42"/>
        <v>M</v>
      </c>
      <c r="D271" s="7" t="str">
        <f t="shared" si="44"/>
        <v>U14</v>
      </c>
      <c r="E271" s="2">
        <v>2006</v>
      </c>
      <c r="F271" s="7" t="str">
        <f>"Judo Monde"</f>
        <v>Judo Monde</v>
      </c>
      <c r="G271" s="7" t="str">
        <f t="shared" si="41"/>
        <v>-46kg</v>
      </c>
      <c r="H271" s="7" t="str">
        <f>"0189252"</f>
        <v>0189252</v>
      </c>
      <c r="I271" s="7" t="str">
        <f t="shared" si="43"/>
        <v>QC</v>
      </c>
      <c r="J271" s="7" t="s">
        <v>174</v>
      </c>
      <c r="K271" s="7" t="str">
        <f>""</f>
        <v/>
      </c>
      <c r="L271" s="7" t="str">
        <f>""</f>
        <v/>
      </c>
      <c r="M271" s="7" t="s">
        <v>202</v>
      </c>
    </row>
    <row r="272" spans="1:13" x14ac:dyDescent="0.25">
      <c r="A272" s="5" t="str">
        <f>"Benjamin"</f>
        <v>Benjamin</v>
      </c>
      <c r="B272" s="5" t="str">
        <f>"Charretton-Delagrave"</f>
        <v>Charretton-Delagrave</v>
      </c>
      <c r="C272" s="5" t="str">
        <f t="shared" si="42"/>
        <v>M</v>
      </c>
      <c r="D272" s="5" t="str">
        <f t="shared" si="44"/>
        <v>U14</v>
      </c>
      <c r="E272" s="2">
        <v>2007</v>
      </c>
      <c r="F272" s="5" t="str">
        <f>"Kiseki Judo"</f>
        <v>Kiseki Judo</v>
      </c>
      <c r="G272" s="5" t="str">
        <f t="shared" ref="G272:G281" si="45">"-50kg"</f>
        <v>-50kg</v>
      </c>
      <c r="H272" s="5" t="str">
        <f>"0189918"</f>
        <v>0189918</v>
      </c>
      <c r="I272" s="5" t="str">
        <f t="shared" si="43"/>
        <v>QC</v>
      </c>
      <c r="J272" s="5" t="s">
        <v>172</v>
      </c>
      <c r="K272" s="5" t="str">
        <f>""</f>
        <v/>
      </c>
      <c r="L272" s="5" t="str">
        <f>""</f>
        <v/>
      </c>
      <c r="M272" s="5" t="s">
        <v>210</v>
      </c>
    </row>
    <row r="273" spans="1:13" x14ac:dyDescent="0.25">
      <c r="A273" s="5" t="str">
        <f>"Arnaud"</f>
        <v>Arnaud</v>
      </c>
      <c r="B273" s="5" t="str">
        <f>"Levesque"</f>
        <v>Levesque</v>
      </c>
      <c r="C273" s="5" t="str">
        <f t="shared" si="42"/>
        <v>M</v>
      </c>
      <c r="D273" s="5" t="str">
        <f t="shared" si="44"/>
        <v>U14</v>
      </c>
      <c r="E273" s="2">
        <v>2007</v>
      </c>
      <c r="F273" s="5" t="str">
        <f>"Dojo Zenshin"</f>
        <v>Dojo Zenshin</v>
      </c>
      <c r="G273" s="5" t="str">
        <f t="shared" si="45"/>
        <v>-50kg</v>
      </c>
      <c r="H273" s="5" t="str">
        <f>"0233364"</f>
        <v>0233364</v>
      </c>
      <c r="I273" s="5" t="str">
        <f t="shared" si="43"/>
        <v>QC</v>
      </c>
      <c r="J273" s="5" t="s">
        <v>166</v>
      </c>
      <c r="K273" s="5" t="str">
        <f>""</f>
        <v/>
      </c>
      <c r="L273" s="5" t="str">
        <f>""</f>
        <v/>
      </c>
      <c r="M273" s="5" t="s">
        <v>210</v>
      </c>
    </row>
    <row r="274" spans="1:13" x14ac:dyDescent="0.25">
      <c r="A274" s="5" t="str">
        <f>"Damien"</f>
        <v>Damien</v>
      </c>
      <c r="B274" s="5" t="str">
        <f>"McLean"</f>
        <v>McLean</v>
      </c>
      <c r="C274" s="5" t="str">
        <f t="shared" si="42"/>
        <v>M</v>
      </c>
      <c r="D274" s="5" t="str">
        <f t="shared" si="44"/>
        <v>U14</v>
      </c>
      <c r="E274" s="2">
        <v>2007</v>
      </c>
      <c r="F274" s="5" t="str">
        <f>"Bushidokan"</f>
        <v>Bushidokan</v>
      </c>
      <c r="G274" s="5" t="str">
        <f t="shared" si="45"/>
        <v>-50kg</v>
      </c>
      <c r="H274" s="5" t="str">
        <f>"0241152"</f>
        <v>0241152</v>
      </c>
      <c r="I274" s="5" t="str">
        <f t="shared" si="43"/>
        <v>QC</v>
      </c>
      <c r="J274" s="5" t="s">
        <v>165</v>
      </c>
      <c r="K274" s="5" t="str">
        <f>""</f>
        <v/>
      </c>
      <c r="L274" s="5" t="str">
        <f>""</f>
        <v/>
      </c>
      <c r="M274" s="5" t="s">
        <v>210</v>
      </c>
    </row>
    <row r="275" spans="1:13" x14ac:dyDescent="0.25">
      <c r="A275" s="5" t="str">
        <f>"Gabin"</f>
        <v>Gabin</v>
      </c>
      <c r="B275" s="5" t="str">
        <f>"Pierson"</f>
        <v>Pierson</v>
      </c>
      <c r="C275" s="5" t="s">
        <v>13</v>
      </c>
      <c r="D275" s="5" t="str">
        <f t="shared" si="44"/>
        <v>U14</v>
      </c>
      <c r="E275" s="2">
        <v>2007</v>
      </c>
      <c r="F275" s="5" t="str">
        <f>"Kiseki Judo"</f>
        <v>Kiseki Judo</v>
      </c>
      <c r="G275" s="5" t="str">
        <f t="shared" si="45"/>
        <v>-50kg</v>
      </c>
      <c r="H275" s="5" t="str">
        <f>"0234824"</f>
        <v>0234824</v>
      </c>
      <c r="I275" s="5" t="str">
        <f t="shared" si="43"/>
        <v>QC</v>
      </c>
      <c r="J275" s="5" t="s">
        <v>171</v>
      </c>
      <c r="K275" s="5" t="str">
        <f>""</f>
        <v/>
      </c>
      <c r="L275" s="5" t="str">
        <f>""</f>
        <v/>
      </c>
      <c r="M275" s="5" t="s">
        <v>210</v>
      </c>
    </row>
    <row r="276" spans="1:13" x14ac:dyDescent="0.25">
      <c r="A276" s="5" t="str">
        <f>"Victor"</f>
        <v>Victor</v>
      </c>
      <c r="B276" s="5" t="str">
        <f>"Sampaio De Olivera"</f>
        <v>Sampaio De Olivera</v>
      </c>
      <c r="C276" s="5" t="str">
        <f t="shared" ref="C276:C298" si="46">"M"</f>
        <v>M</v>
      </c>
      <c r="D276" s="5" t="str">
        <f t="shared" si="44"/>
        <v>U14</v>
      </c>
      <c r="E276" s="2">
        <v>2007</v>
      </c>
      <c r="F276" s="5" t="str">
        <f>"Judo Phénix - Collège Charlemagne"</f>
        <v>Judo Phénix - Collège Charlemagne</v>
      </c>
      <c r="G276" s="5" t="str">
        <f t="shared" si="45"/>
        <v>-50kg</v>
      </c>
      <c r="H276" s="5" t="str">
        <f>"0231612"</f>
        <v>0231612</v>
      </c>
      <c r="I276" s="5" t="str">
        <f t="shared" si="43"/>
        <v>QC</v>
      </c>
      <c r="J276" s="5" t="s">
        <v>172</v>
      </c>
      <c r="K276" s="5" t="str">
        <f>""</f>
        <v/>
      </c>
      <c r="L276" s="5" t="str">
        <f>""</f>
        <v/>
      </c>
      <c r="M276" s="5" t="s">
        <v>210</v>
      </c>
    </row>
    <row r="277" spans="1:13" x14ac:dyDescent="0.25">
      <c r="A277" s="6" t="str">
        <f>"Adel"</f>
        <v>Adel</v>
      </c>
      <c r="B277" s="6" t="str">
        <f>"Abid"</f>
        <v>Abid</v>
      </c>
      <c r="C277" s="6" t="str">
        <f t="shared" si="46"/>
        <v>M</v>
      </c>
      <c r="D277" s="6" t="str">
        <f t="shared" si="44"/>
        <v>U14</v>
      </c>
      <c r="E277" s="2">
        <v>2006</v>
      </c>
      <c r="F277" s="6" t="str">
        <f>"Club de judo St-Jean Bosco de Hull"</f>
        <v>Club de judo St-Jean Bosco de Hull</v>
      </c>
      <c r="G277" s="6" t="str">
        <f t="shared" si="45"/>
        <v>-50kg</v>
      </c>
      <c r="H277" s="6" t="str">
        <f>"0190031"</f>
        <v>0190031</v>
      </c>
      <c r="I277" s="6" t="str">
        <f t="shared" si="43"/>
        <v>QC</v>
      </c>
      <c r="J277" s="6" t="s">
        <v>174</v>
      </c>
      <c r="K277" s="6" t="str">
        <f>""</f>
        <v/>
      </c>
      <c r="L277" s="6" t="str">
        <f>""</f>
        <v/>
      </c>
      <c r="M277" s="6" t="s">
        <v>200</v>
      </c>
    </row>
    <row r="278" spans="1:13" x14ac:dyDescent="0.25">
      <c r="A278" s="6" t="str">
        <f>"Zachari"</f>
        <v>Zachari</v>
      </c>
      <c r="B278" s="6" t="str">
        <f>"Berube"</f>
        <v>Berube</v>
      </c>
      <c r="C278" s="6" t="str">
        <f t="shared" si="46"/>
        <v>M</v>
      </c>
      <c r="D278" s="6" t="str">
        <f t="shared" si="44"/>
        <v>U14</v>
      </c>
      <c r="E278" s="2">
        <v>2006</v>
      </c>
      <c r="F278" s="6" t="str">
        <f>"Judo Blainville"</f>
        <v>Judo Blainville</v>
      </c>
      <c r="G278" s="6" t="str">
        <f t="shared" si="45"/>
        <v>-50kg</v>
      </c>
      <c r="H278" s="6" t="str">
        <f>"0200302"</f>
        <v>0200302</v>
      </c>
      <c r="I278" s="6" t="str">
        <f t="shared" si="43"/>
        <v>QC</v>
      </c>
      <c r="J278" s="6" t="s">
        <v>175</v>
      </c>
      <c r="K278" s="6" t="str">
        <f>""</f>
        <v/>
      </c>
      <c r="L278" s="6" t="str">
        <f>""</f>
        <v/>
      </c>
      <c r="M278" s="6" t="s">
        <v>200</v>
      </c>
    </row>
    <row r="279" spans="1:13" x14ac:dyDescent="0.25">
      <c r="A279" s="6" t="str">
        <f>"Fahd"</f>
        <v>Fahd</v>
      </c>
      <c r="B279" s="6" t="str">
        <f>"Fithane"</f>
        <v>Fithane</v>
      </c>
      <c r="C279" s="6" t="str">
        <f t="shared" si="46"/>
        <v>M</v>
      </c>
      <c r="D279" s="6" t="str">
        <f t="shared" si="44"/>
        <v>U14</v>
      </c>
      <c r="E279" s="2">
        <v>2006</v>
      </c>
      <c r="F279" s="6" t="str">
        <f>"Club de judo Shidokan inc."</f>
        <v>Club de judo Shidokan inc.</v>
      </c>
      <c r="G279" s="6" t="str">
        <f t="shared" si="45"/>
        <v>-50kg</v>
      </c>
      <c r="H279" s="6" t="str">
        <f>"0230568"</f>
        <v>0230568</v>
      </c>
      <c r="I279" s="6" t="str">
        <f t="shared" si="43"/>
        <v>QC</v>
      </c>
      <c r="J279" s="6" t="s">
        <v>174</v>
      </c>
      <c r="K279" s="6" t="str">
        <f>""</f>
        <v/>
      </c>
      <c r="L279" s="6" t="str">
        <f>""</f>
        <v/>
      </c>
      <c r="M279" s="6" t="s">
        <v>200</v>
      </c>
    </row>
    <row r="280" spans="1:13" x14ac:dyDescent="0.25">
      <c r="A280" s="6" t="str">
        <f>"Philippe"</f>
        <v>Philippe</v>
      </c>
      <c r="B280" s="6" t="str">
        <f>"Glaude"</f>
        <v>Glaude</v>
      </c>
      <c r="C280" s="6" t="str">
        <f t="shared" si="46"/>
        <v>M</v>
      </c>
      <c r="D280" s="6" t="str">
        <f t="shared" si="44"/>
        <v>U14</v>
      </c>
      <c r="E280" s="2">
        <v>2007</v>
      </c>
      <c r="F280" s="6" t="str">
        <f>"Club de Judo Haut-Richelieu"</f>
        <v>Club de Judo Haut-Richelieu</v>
      </c>
      <c r="G280" s="6" t="str">
        <f t="shared" si="45"/>
        <v>-50kg</v>
      </c>
      <c r="H280" s="6" t="str">
        <f>"0212410"</f>
        <v>0212410</v>
      </c>
      <c r="I280" s="6" t="str">
        <f t="shared" si="43"/>
        <v>QC</v>
      </c>
      <c r="J280" s="6" t="s">
        <v>174</v>
      </c>
      <c r="K280" s="6" t="str">
        <f>""</f>
        <v/>
      </c>
      <c r="L280" s="6" t="str">
        <f>""</f>
        <v/>
      </c>
      <c r="M280" s="6" t="s">
        <v>200</v>
      </c>
    </row>
    <row r="281" spans="1:13" x14ac:dyDescent="0.25">
      <c r="A281" s="6" t="str">
        <f>"Akim"</f>
        <v>Akim</v>
      </c>
      <c r="B281" s="6" t="str">
        <f>"Morin"</f>
        <v>Morin</v>
      </c>
      <c r="C281" s="6" t="str">
        <f t="shared" si="46"/>
        <v>M</v>
      </c>
      <c r="D281" s="6" t="str">
        <f t="shared" si="44"/>
        <v>U14</v>
      </c>
      <c r="E281" s="2">
        <v>2006</v>
      </c>
      <c r="F281" s="6" t="str">
        <f>"Club de judo Saint-Hyacinthe Inc."</f>
        <v>Club de judo Saint-Hyacinthe Inc.</v>
      </c>
      <c r="G281" s="6" t="str">
        <f t="shared" si="45"/>
        <v>-50kg</v>
      </c>
      <c r="H281" s="6" t="str">
        <f>"0217913"</f>
        <v>0217913</v>
      </c>
      <c r="I281" s="6" t="str">
        <f t="shared" si="43"/>
        <v>QC</v>
      </c>
      <c r="J281" s="6" t="s">
        <v>174</v>
      </c>
      <c r="K281" s="6" t="str">
        <f>""</f>
        <v/>
      </c>
      <c r="L281" s="6" t="str">
        <f>""</f>
        <v/>
      </c>
      <c r="M281" s="6" t="s">
        <v>200</v>
      </c>
    </row>
    <row r="282" spans="1:13" x14ac:dyDescent="0.25">
      <c r="A282" s="1" t="str">
        <f>"Isaac"</f>
        <v>Isaac</v>
      </c>
      <c r="B282" s="1" t="str">
        <f>"Bourgoin"</f>
        <v>Bourgoin</v>
      </c>
      <c r="C282" s="1" t="str">
        <f t="shared" si="46"/>
        <v>M</v>
      </c>
      <c r="D282" s="1" t="str">
        <f t="shared" si="44"/>
        <v>U14</v>
      </c>
      <c r="E282" s="2">
        <v>2007</v>
      </c>
      <c r="F282" s="1" t="str">
        <f>"Club de judo de la vieille capitale"</f>
        <v>Club de judo de la vieille capitale</v>
      </c>
      <c r="G282" s="1" t="str">
        <f t="shared" ref="G282:G289" si="47">"-55kg"</f>
        <v>-55kg</v>
      </c>
      <c r="H282" s="1" t="str">
        <f>"0232988"</f>
        <v>0232988</v>
      </c>
      <c r="I282" s="1" t="str">
        <f t="shared" si="43"/>
        <v>QC</v>
      </c>
      <c r="J282" s="1" t="s">
        <v>171</v>
      </c>
      <c r="K282" s="1" t="str">
        <f>""</f>
        <v/>
      </c>
      <c r="L282" s="1" t="str">
        <f>""</f>
        <v/>
      </c>
      <c r="M282" s="1" t="s">
        <v>213</v>
      </c>
    </row>
    <row r="283" spans="1:13" x14ac:dyDescent="0.25">
      <c r="A283" s="1" t="str">
        <f>"Lucas"</f>
        <v>Lucas</v>
      </c>
      <c r="B283" s="1" t="str">
        <f>"Kalompa"</f>
        <v>Kalompa</v>
      </c>
      <c r="C283" s="1" t="str">
        <f t="shared" si="46"/>
        <v>M</v>
      </c>
      <c r="D283" s="1" t="str">
        <f t="shared" si="44"/>
        <v>U14</v>
      </c>
      <c r="E283" s="2">
        <v>2007</v>
      </c>
      <c r="F283" s="1" t="str">
        <f>"Bushidokan"</f>
        <v>Bushidokan</v>
      </c>
      <c r="G283" s="1" t="str">
        <f t="shared" si="47"/>
        <v>-55kg</v>
      </c>
      <c r="H283" s="1" t="str">
        <f>"0230982"</f>
        <v>0230982</v>
      </c>
      <c r="I283" s="1" t="str">
        <f t="shared" si="43"/>
        <v>QC</v>
      </c>
      <c r="J283" s="1" t="s">
        <v>165</v>
      </c>
      <c r="K283" s="1" t="str">
        <f>""</f>
        <v/>
      </c>
      <c r="L283" s="1" t="str">
        <f>""</f>
        <v/>
      </c>
      <c r="M283" s="1" t="s">
        <v>213</v>
      </c>
    </row>
    <row r="284" spans="1:13" x14ac:dyDescent="0.25">
      <c r="A284" s="1" t="str">
        <f>"Mouad"</f>
        <v>Mouad</v>
      </c>
      <c r="B284" s="1" t="str">
        <f>"Kobi"</f>
        <v>Kobi</v>
      </c>
      <c r="C284" s="1" t="str">
        <f t="shared" si="46"/>
        <v>M</v>
      </c>
      <c r="D284" s="1" t="str">
        <f t="shared" si="44"/>
        <v>U14</v>
      </c>
      <c r="E284" s="2">
        <v>2006</v>
      </c>
      <c r="F284" s="1" t="str">
        <f>"Club judo St-Leonard"</f>
        <v>Club judo St-Leonard</v>
      </c>
      <c r="G284" s="1" t="str">
        <f t="shared" si="47"/>
        <v>-55kg</v>
      </c>
      <c r="H284" s="1" t="str">
        <f>"0223762"</f>
        <v>0223762</v>
      </c>
      <c r="I284" s="1" t="str">
        <f t="shared" si="43"/>
        <v>QC</v>
      </c>
      <c r="J284" s="1" t="s">
        <v>165</v>
      </c>
      <c r="K284" s="1" t="str">
        <f>""</f>
        <v/>
      </c>
      <c r="L284" s="1" t="str">
        <f>""</f>
        <v/>
      </c>
      <c r="M284" s="1" t="s">
        <v>213</v>
      </c>
    </row>
    <row r="285" spans="1:13" x14ac:dyDescent="0.25">
      <c r="A285" s="1" t="str">
        <f>"Leonard"</f>
        <v>Leonard</v>
      </c>
      <c r="B285" s="1" t="str">
        <f>"Lachance"</f>
        <v>Lachance</v>
      </c>
      <c r="C285" s="1" t="str">
        <f t="shared" si="46"/>
        <v>M</v>
      </c>
      <c r="D285" s="1" t="str">
        <f t="shared" si="44"/>
        <v>U14</v>
      </c>
      <c r="E285" s="2">
        <v>2006</v>
      </c>
      <c r="F285" s="1" t="str">
        <f>"Judo Beauce"</f>
        <v>Judo Beauce</v>
      </c>
      <c r="G285" s="1" t="str">
        <f t="shared" si="47"/>
        <v>-55kg</v>
      </c>
      <c r="H285" s="1" t="str">
        <f>"0234926"</f>
        <v>0234926</v>
      </c>
      <c r="I285" s="1" t="str">
        <f t="shared" si="43"/>
        <v>QC</v>
      </c>
      <c r="J285" s="1" t="s">
        <v>172</v>
      </c>
      <c r="K285" s="1" t="str">
        <f>""</f>
        <v/>
      </c>
      <c r="L285" s="1" t="str">
        <f>""</f>
        <v/>
      </c>
      <c r="M285" s="1" t="s">
        <v>213</v>
      </c>
    </row>
    <row r="286" spans="1:13" x14ac:dyDescent="0.25">
      <c r="A286" s="1" t="str">
        <f>"Yassine"</f>
        <v>Yassine</v>
      </c>
      <c r="B286" s="1" t="str">
        <f>"Miled"</f>
        <v>Miled</v>
      </c>
      <c r="C286" s="1" t="str">
        <f t="shared" si="46"/>
        <v>M</v>
      </c>
      <c r="D286" s="1" t="str">
        <f t="shared" si="44"/>
        <v>U14</v>
      </c>
      <c r="E286" s="2">
        <v>2006</v>
      </c>
      <c r="F286" s="1" t="str">
        <f>"Club de judo Olympique"</f>
        <v>Club de judo Olympique</v>
      </c>
      <c r="G286" s="1" t="str">
        <f t="shared" si="47"/>
        <v>-55kg</v>
      </c>
      <c r="H286" s="1" t="str">
        <f>"0239627"</f>
        <v>0239627</v>
      </c>
      <c r="I286" s="1" t="str">
        <f t="shared" si="43"/>
        <v>QC</v>
      </c>
      <c r="J286" s="1" t="s">
        <v>171</v>
      </c>
      <c r="K286" s="1" t="str">
        <f>""</f>
        <v/>
      </c>
      <c r="L286" s="1" t="str">
        <f>""</f>
        <v/>
      </c>
      <c r="M286" s="1" t="s">
        <v>213</v>
      </c>
    </row>
    <row r="287" spans="1:13" x14ac:dyDescent="0.25">
      <c r="A287" s="1" t="str">
        <f>"Ludovic"</f>
        <v>Ludovic</v>
      </c>
      <c r="B287" s="1" t="str">
        <f>"Vachon-Desjardins"</f>
        <v>Vachon-Desjardins</v>
      </c>
      <c r="C287" s="1" t="str">
        <f t="shared" si="46"/>
        <v>M</v>
      </c>
      <c r="D287" s="1" t="str">
        <f t="shared" si="44"/>
        <v>U14</v>
      </c>
      <c r="E287" s="2">
        <v>2007</v>
      </c>
      <c r="F287" s="1" t="str">
        <f>"Club de judo Métropolitain inc."</f>
        <v>Club de judo Métropolitain inc.</v>
      </c>
      <c r="G287" s="1" t="str">
        <f t="shared" si="47"/>
        <v>-55kg</v>
      </c>
      <c r="H287" s="1" t="str">
        <f>"0409717"</f>
        <v>0409717</v>
      </c>
      <c r="I287" s="1" t="str">
        <f t="shared" si="43"/>
        <v>QC</v>
      </c>
      <c r="J287" s="1" t="s">
        <v>165</v>
      </c>
      <c r="K287" s="1" t="str">
        <f>""</f>
        <v/>
      </c>
      <c r="L287" s="1" t="str">
        <f>""</f>
        <v/>
      </c>
      <c r="M287" s="1" t="s">
        <v>213</v>
      </c>
    </row>
    <row r="288" spans="1:13" x14ac:dyDescent="0.25">
      <c r="A288" s="7" t="str">
        <f>"Samson"</f>
        <v>Samson</v>
      </c>
      <c r="B288" s="7" t="str">
        <f>"Gill"</f>
        <v>Gill</v>
      </c>
      <c r="C288" s="7" t="str">
        <f t="shared" si="46"/>
        <v>M</v>
      </c>
      <c r="D288" s="7" t="str">
        <f t="shared" si="44"/>
        <v>U14</v>
      </c>
      <c r="E288" s="2">
        <v>2006</v>
      </c>
      <c r="F288" s="7" t="str">
        <f>"Club de judo Métropolitain inc."</f>
        <v>Club de judo Métropolitain inc.</v>
      </c>
      <c r="G288" s="7" t="str">
        <f t="shared" si="47"/>
        <v>-55kg</v>
      </c>
      <c r="H288" s="7" t="str">
        <f>"0213818"</f>
        <v>0213818</v>
      </c>
      <c r="I288" s="7" t="str">
        <f t="shared" si="43"/>
        <v>QC</v>
      </c>
      <c r="J288" s="7" t="s">
        <v>174</v>
      </c>
      <c r="K288" s="7" t="str">
        <f>""</f>
        <v/>
      </c>
      <c r="L288" s="7" t="str">
        <f>""</f>
        <v/>
      </c>
      <c r="M288" s="7" t="s">
        <v>201</v>
      </c>
    </row>
    <row r="289" spans="1:13" x14ac:dyDescent="0.25">
      <c r="A289" s="7" t="str">
        <f>"Matys"</f>
        <v>Matys</v>
      </c>
      <c r="B289" s="7" t="str">
        <f>"Rainville"</f>
        <v>Rainville</v>
      </c>
      <c r="C289" s="7" t="str">
        <f t="shared" si="46"/>
        <v>M</v>
      </c>
      <c r="D289" s="7" t="str">
        <f t="shared" si="44"/>
        <v>U14</v>
      </c>
      <c r="E289" s="2">
        <v>2006</v>
      </c>
      <c r="F289" s="7" t="str">
        <f>"Judo Drummondville"</f>
        <v>Judo Drummondville</v>
      </c>
      <c r="G289" s="7" t="str">
        <f t="shared" si="47"/>
        <v>-55kg</v>
      </c>
      <c r="H289" s="7" t="str">
        <f>"0197767"</f>
        <v>0197767</v>
      </c>
      <c r="I289" s="7" t="str">
        <f t="shared" si="43"/>
        <v>QC</v>
      </c>
      <c r="J289" s="7" t="s">
        <v>174</v>
      </c>
      <c r="K289" s="7" t="str">
        <f>""</f>
        <v/>
      </c>
      <c r="L289" s="7" t="str">
        <f>""</f>
        <v/>
      </c>
      <c r="M289" s="7" t="s">
        <v>201</v>
      </c>
    </row>
    <row r="290" spans="1:13" x14ac:dyDescent="0.25">
      <c r="A290" s="5" t="str">
        <f>"Adam"</f>
        <v>Adam</v>
      </c>
      <c r="B290" s="5" t="str">
        <f>"Aaqaoui"</f>
        <v>Aaqaoui</v>
      </c>
      <c r="C290" s="5" t="str">
        <f t="shared" si="46"/>
        <v>M</v>
      </c>
      <c r="D290" s="5" t="str">
        <f t="shared" si="44"/>
        <v>U14</v>
      </c>
      <c r="E290" s="2">
        <v>2007</v>
      </c>
      <c r="F290" s="5" t="str">
        <f>"Club judo St-Leonard"</f>
        <v>Club judo St-Leonard</v>
      </c>
      <c r="G290" s="5" t="str">
        <f t="shared" ref="G290:G297" si="48">"-60kg"</f>
        <v>-60kg</v>
      </c>
      <c r="H290" s="5" t="str">
        <f>"0228023"</f>
        <v>0228023</v>
      </c>
      <c r="I290" s="5" t="str">
        <f t="shared" si="43"/>
        <v>QC</v>
      </c>
      <c r="J290" s="5" t="s">
        <v>165</v>
      </c>
      <c r="K290" s="5" t="str">
        <f>""</f>
        <v/>
      </c>
      <c r="L290" s="5" t="str">
        <f>""</f>
        <v/>
      </c>
      <c r="M290" s="5" t="s">
        <v>211</v>
      </c>
    </row>
    <row r="291" spans="1:13" x14ac:dyDescent="0.25">
      <c r="A291" s="5" t="str">
        <f>"Younes"</f>
        <v>Younes</v>
      </c>
      <c r="B291" s="5" t="str">
        <f>"Djeraba"</f>
        <v>Djeraba</v>
      </c>
      <c r="C291" s="5" t="str">
        <f t="shared" si="46"/>
        <v>M</v>
      </c>
      <c r="D291" s="5" t="str">
        <f t="shared" si="44"/>
        <v>U14</v>
      </c>
      <c r="E291" s="2">
        <v>2007</v>
      </c>
      <c r="F291" s="5" t="str">
        <f>"Club de judo Métropolitain inc."</f>
        <v>Club de judo Métropolitain inc.</v>
      </c>
      <c r="G291" s="5" t="str">
        <f t="shared" si="48"/>
        <v>-60kg</v>
      </c>
      <c r="H291" s="5" t="str">
        <f>"0197650"</f>
        <v>0197650</v>
      </c>
      <c r="I291" s="5" t="str">
        <f t="shared" si="43"/>
        <v>QC</v>
      </c>
      <c r="J291" s="5" t="s">
        <v>171</v>
      </c>
      <c r="K291" s="5" t="str">
        <f>""</f>
        <v/>
      </c>
      <c r="L291" s="5" t="str">
        <f>""</f>
        <v/>
      </c>
      <c r="M291" s="5" t="s">
        <v>211</v>
      </c>
    </row>
    <row r="292" spans="1:13" x14ac:dyDescent="0.25">
      <c r="A292" s="5" t="str">
        <f>"Mossaab"</f>
        <v>Mossaab</v>
      </c>
      <c r="B292" s="5" t="str">
        <f>"Rahmani"</f>
        <v>Rahmani</v>
      </c>
      <c r="C292" s="5" t="str">
        <f t="shared" si="46"/>
        <v>M</v>
      </c>
      <c r="D292" s="5" t="str">
        <f t="shared" si="44"/>
        <v>U14</v>
      </c>
      <c r="E292" s="2">
        <v>2006</v>
      </c>
      <c r="F292" s="5" t="str">
        <f>"Club judo St-Leonard"</f>
        <v>Club judo St-Leonard</v>
      </c>
      <c r="G292" s="5" t="str">
        <f t="shared" si="48"/>
        <v>-60kg</v>
      </c>
      <c r="H292" s="5" t="str">
        <f>"0183793"</f>
        <v>0183793</v>
      </c>
      <c r="I292" s="5" t="str">
        <f t="shared" si="43"/>
        <v>QC</v>
      </c>
      <c r="J292" s="5" t="s">
        <v>172</v>
      </c>
      <c r="K292" s="5" t="str">
        <f>""</f>
        <v/>
      </c>
      <c r="L292" s="5" t="str">
        <f>""</f>
        <v/>
      </c>
      <c r="M292" s="5" t="s">
        <v>211</v>
      </c>
    </row>
    <row r="293" spans="1:13" x14ac:dyDescent="0.25">
      <c r="A293" s="5" t="str">
        <f>"Angelo"</f>
        <v>Angelo</v>
      </c>
      <c r="B293" s="5" t="str">
        <f>"Tematieu"</f>
        <v>Tematieu</v>
      </c>
      <c r="C293" s="5" t="str">
        <f t="shared" si="46"/>
        <v>M</v>
      </c>
      <c r="D293" s="5" t="str">
        <f t="shared" si="44"/>
        <v>U14</v>
      </c>
      <c r="E293" s="2">
        <v>2007</v>
      </c>
      <c r="F293" s="5" t="str">
        <f>"Arts martiaux Budokai inc."</f>
        <v>Arts martiaux Budokai inc.</v>
      </c>
      <c r="G293" s="5" t="str">
        <f t="shared" si="48"/>
        <v>-60kg</v>
      </c>
      <c r="H293" s="5" t="str">
        <f>"0234520"</f>
        <v>0234520</v>
      </c>
      <c r="I293" s="5" t="str">
        <f t="shared" si="43"/>
        <v>QC</v>
      </c>
      <c r="J293" s="5" t="s">
        <v>172</v>
      </c>
      <c r="K293" s="5" t="str">
        <f>""</f>
        <v/>
      </c>
      <c r="L293" s="5" t="str">
        <f>""</f>
        <v/>
      </c>
      <c r="M293" s="5" t="s">
        <v>211</v>
      </c>
    </row>
    <row r="294" spans="1:13" x14ac:dyDescent="0.25">
      <c r="A294" s="5" t="str">
        <f>"Felix"</f>
        <v>Felix</v>
      </c>
      <c r="B294" s="5" t="str">
        <f>"Therrien"</f>
        <v>Therrien</v>
      </c>
      <c r="C294" s="5" t="str">
        <f t="shared" si="46"/>
        <v>M</v>
      </c>
      <c r="D294" s="5" t="str">
        <f t="shared" si="44"/>
        <v>U14</v>
      </c>
      <c r="E294" s="2">
        <v>2007</v>
      </c>
      <c r="F294" s="5" t="str">
        <f>"Club de judo Albatros Inc."</f>
        <v>Club de judo Albatros Inc.</v>
      </c>
      <c r="G294" s="5" t="str">
        <f t="shared" si="48"/>
        <v>-60kg</v>
      </c>
      <c r="H294" s="5" t="str">
        <f>"0199517"</f>
        <v>0199517</v>
      </c>
      <c r="I294" s="5" t="str">
        <f t="shared" si="43"/>
        <v>QC</v>
      </c>
      <c r="J294" s="5" t="s">
        <v>172</v>
      </c>
      <c r="K294" s="5" t="str">
        <f>""</f>
        <v/>
      </c>
      <c r="L294" s="5" t="str">
        <f>""</f>
        <v/>
      </c>
      <c r="M294" s="5" t="s">
        <v>211</v>
      </c>
    </row>
    <row r="295" spans="1:13" x14ac:dyDescent="0.25">
      <c r="A295" s="5" t="str">
        <f>"Ilyass"</f>
        <v>Ilyass</v>
      </c>
      <c r="B295" s="5" t="str">
        <f>"Zaatout"</f>
        <v>Zaatout</v>
      </c>
      <c r="C295" s="5" t="str">
        <f t="shared" si="46"/>
        <v>M</v>
      </c>
      <c r="D295" s="5" t="str">
        <f t="shared" si="44"/>
        <v>U14</v>
      </c>
      <c r="E295" s="2">
        <v>2006</v>
      </c>
      <c r="F295" s="5" t="str">
        <f>"Club judo St-Leonard"</f>
        <v>Club judo St-Leonard</v>
      </c>
      <c r="G295" s="5" t="str">
        <f t="shared" si="48"/>
        <v>-60kg</v>
      </c>
      <c r="H295" s="5" t="str">
        <f>"0198506"</f>
        <v>0198506</v>
      </c>
      <c r="I295" s="5" t="str">
        <f t="shared" ref="I295:I326" si="49">"QC"</f>
        <v>QC</v>
      </c>
      <c r="J295" s="5" t="s">
        <v>165</v>
      </c>
      <c r="K295" s="5" t="str">
        <f>""</f>
        <v/>
      </c>
      <c r="L295" s="5" t="str">
        <f>""</f>
        <v/>
      </c>
      <c r="M295" s="5" t="s">
        <v>211</v>
      </c>
    </row>
    <row r="296" spans="1:13" x14ac:dyDescent="0.25">
      <c r="A296" s="6" t="str">
        <f>"Arris"</f>
        <v>Arris</v>
      </c>
      <c r="B296" s="6" t="str">
        <f>"Ouhab"</f>
        <v>Ouhab</v>
      </c>
      <c r="C296" s="6" t="str">
        <f t="shared" si="46"/>
        <v>M</v>
      </c>
      <c r="D296" s="6" t="str">
        <f t="shared" si="44"/>
        <v>U14</v>
      </c>
      <c r="E296" s="2">
        <v>2006</v>
      </c>
      <c r="F296" s="6" t="str">
        <f>"Budokan Saint-Laurent"</f>
        <v>Budokan Saint-Laurent</v>
      </c>
      <c r="G296" s="6" t="str">
        <f t="shared" si="48"/>
        <v>-60kg</v>
      </c>
      <c r="H296" s="6" t="str">
        <f>"0196339"</f>
        <v>0196339</v>
      </c>
      <c r="I296" s="6" t="str">
        <f t="shared" si="49"/>
        <v>QC</v>
      </c>
      <c r="J296" s="6" t="s">
        <v>174</v>
      </c>
      <c r="K296" s="6" t="str">
        <f>""</f>
        <v/>
      </c>
      <c r="L296" s="6" t="str">
        <f>""</f>
        <v/>
      </c>
      <c r="M296" s="6" t="s">
        <v>199</v>
      </c>
    </row>
    <row r="297" spans="1:13" x14ac:dyDescent="0.25">
      <c r="A297" s="6" t="str">
        <f>"Mohamed Amine"</f>
        <v>Mohamed Amine</v>
      </c>
      <c r="B297" s="6" t="str">
        <f>"Silem"</f>
        <v>Silem</v>
      </c>
      <c r="C297" s="6" t="str">
        <f t="shared" si="46"/>
        <v>M</v>
      </c>
      <c r="D297" s="6" t="str">
        <f t="shared" si="44"/>
        <v>U14</v>
      </c>
      <c r="E297" s="2">
        <v>2007</v>
      </c>
      <c r="F297" s="6" t="str">
        <f>"Club de judo Torii"</f>
        <v>Club de judo Torii</v>
      </c>
      <c r="G297" s="6" t="str">
        <f t="shared" si="48"/>
        <v>-60kg</v>
      </c>
      <c r="H297" s="6" t="str">
        <f>"0189927"</f>
        <v>0189927</v>
      </c>
      <c r="I297" s="6" t="str">
        <f t="shared" si="49"/>
        <v>QC</v>
      </c>
      <c r="J297" s="6" t="s">
        <v>174</v>
      </c>
      <c r="K297" s="6" t="str">
        <f>""</f>
        <v/>
      </c>
      <c r="L297" s="6" t="str">
        <f>""</f>
        <v/>
      </c>
      <c r="M297" s="6" t="s">
        <v>199</v>
      </c>
    </row>
    <row r="298" spans="1:13" x14ac:dyDescent="0.25">
      <c r="A298" s="4" t="str">
        <f>"Felix"</f>
        <v>Felix</v>
      </c>
      <c r="B298" s="4" t="str">
        <f>"Ouellet"</f>
        <v>Ouellet</v>
      </c>
      <c r="C298" s="4" t="str">
        <f t="shared" si="46"/>
        <v>M</v>
      </c>
      <c r="D298" s="4" t="str">
        <f t="shared" si="44"/>
        <v>U14</v>
      </c>
      <c r="E298" s="2">
        <v>2007</v>
      </c>
      <c r="F298" s="4" t="str">
        <f>"Club Judo Mascouche"</f>
        <v>Club Judo Mascouche</v>
      </c>
      <c r="G298" s="4" t="str">
        <f>"-66kg"</f>
        <v>-66kg</v>
      </c>
      <c r="H298" s="4" t="str">
        <f>"0234894"</f>
        <v>0234894</v>
      </c>
      <c r="I298" s="4" t="str">
        <f t="shared" si="49"/>
        <v>QC</v>
      </c>
      <c r="J298" s="4" t="s">
        <v>171</v>
      </c>
      <c r="K298" s="4" t="str">
        <f>""</f>
        <v/>
      </c>
      <c r="L298" s="4" t="s">
        <v>180</v>
      </c>
      <c r="M298" s="4" t="s">
        <v>212</v>
      </c>
    </row>
    <row r="299" spans="1:13" x14ac:dyDescent="0.25">
      <c r="A299" s="7" t="str">
        <f>"Kathie"</f>
        <v>Kathie</v>
      </c>
      <c r="B299" s="7" t="str">
        <f>"Bourque"</f>
        <v>Bourque</v>
      </c>
      <c r="C299" s="7" t="str">
        <f t="shared" ref="C299:C340" si="50">"F"</f>
        <v>F</v>
      </c>
      <c r="D299" s="7" t="str">
        <f t="shared" ref="D299:D330" si="51">"U16"</f>
        <v>U16</v>
      </c>
      <c r="E299" s="2">
        <v>2005</v>
      </c>
      <c r="F299" s="7" t="str">
        <f>"Club de judo Ghishintaido inc."</f>
        <v>Club de judo Ghishintaido inc.</v>
      </c>
      <c r="G299" s="7" t="str">
        <f>"+70kg"</f>
        <v>+70kg</v>
      </c>
      <c r="H299" s="7" t="str">
        <f>"0224303"</f>
        <v>0224303</v>
      </c>
      <c r="I299" s="7" t="str">
        <f t="shared" si="49"/>
        <v>QC</v>
      </c>
      <c r="J299" s="7" t="s">
        <v>174</v>
      </c>
      <c r="K299" s="7" t="str">
        <f>""</f>
        <v/>
      </c>
      <c r="L299" s="7" t="str">
        <f>""</f>
        <v/>
      </c>
      <c r="M299" s="7" t="s">
        <v>219</v>
      </c>
    </row>
    <row r="300" spans="1:13" x14ac:dyDescent="0.25">
      <c r="A300" s="7" t="str">
        <f>"Frederique"</f>
        <v>Frederique</v>
      </c>
      <c r="B300" s="7" t="str">
        <f>"Forest"</f>
        <v>Forest</v>
      </c>
      <c r="C300" s="7" t="str">
        <f t="shared" si="50"/>
        <v>F</v>
      </c>
      <c r="D300" s="7" t="str">
        <f t="shared" si="51"/>
        <v>U16</v>
      </c>
      <c r="E300" s="2">
        <v>2004</v>
      </c>
      <c r="F300" s="7" t="str">
        <f>"Kiseki Judo"</f>
        <v>Kiseki Judo</v>
      </c>
      <c r="G300" s="7" t="str">
        <f>"+70kg"</f>
        <v>+70kg</v>
      </c>
      <c r="H300" s="7" t="str">
        <f>"0222556"</f>
        <v>0222556</v>
      </c>
      <c r="I300" s="7" t="str">
        <f t="shared" si="49"/>
        <v>QC</v>
      </c>
      <c r="J300" s="7" t="s">
        <v>174</v>
      </c>
      <c r="K300" s="7" t="str">
        <f>""</f>
        <v/>
      </c>
      <c r="L300" s="7" t="str">
        <f>""</f>
        <v/>
      </c>
      <c r="M300" s="7" t="s">
        <v>219</v>
      </c>
    </row>
    <row r="301" spans="1:13" x14ac:dyDescent="0.25">
      <c r="A301" s="7" t="str">
        <f>"Aurelie"</f>
        <v>Aurelie</v>
      </c>
      <c r="B301" s="7" t="str">
        <f>"Laroche"</f>
        <v>Laroche</v>
      </c>
      <c r="C301" s="7" t="str">
        <f t="shared" si="50"/>
        <v>F</v>
      </c>
      <c r="D301" s="7" t="str">
        <f t="shared" si="51"/>
        <v>U16</v>
      </c>
      <c r="E301" s="2">
        <v>2005</v>
      </c>
      <c r="F301" s="7" t="str">
        <f>"Kime-Waza  Joliette"</f>
        <v>Kime-Waza  Joliette</v>
      </c>
      <c r="G301" s="7" t="str">
        <f>"+70kg"</f>
        <v>+70kg</v>
      </c>
      <c r="H301" s="7" t="str">
        <f>"0188223"</f>
        <v>0188223</v>
      </c>
      <c r="I301" s="7" t="str">
        <f t="shared" si="49"/>
        <v>QC</v>
      </c>
      <c r="J301" s="7" t="s">
        <v>174</v>
      </c>
      <c r="K301" s="7" t="str">
        <f>""</f>
        <v/>
      </c>
      <c r="L301" s="7" t="str">
        <f>""</f>
        <v/>
      </c>
      <c r="M301" s="7" t="s">
        <v>219</v>
      </c>
    </row>
    <row r="302" spans="1:13" x14ac:dyDescent="0.25">
      <c r="A302" s="7" t="str">
        <f>"Maya"</f>
        <v>Maya</v>
      </c>
      <c r="B302" s="7" t="str">
        <f>"Sahraoui"</f>
        <v>Sahraoui</v>
      </c>
      <c r="C302" s="7" t="str">
        <f t="shared" si="50"/>
        <v>F</v>
      </c>
      <c r="D302" s="7" t="str">
        <f t="shared" si="51"/>
        <v>U16</v>
      </c>
      <c r="E302" s="2">
        <v>2004</v>
      </c>
      <c r="F302" s="7" t="str">
        <f>"Judo Blainville"</f>
        <v>Judo Blainville</v>
      </c>
      <c r="G302" s="7" t="str">
        <f>"+70kg"</f>
        <v>+70kg</v>
      </c>
      <c r="H302" s="4" t="str">
        <f>"AutreFederation"</f>
        <v>AutreFederation</v>
      </c>
      <c r="I302" s="7" t="str">
        <f t="shared" si="49"/>
        <v>QC</v>
      </c>
      <c r="J302" s="7" t="s">
        <v>163</v>
      </c>
      <c r="K302" s="7" t="str">
        <f>""</f>
        <v/>
      </c>
      <c r="L302" s="7" t="str">
        <f>""</f>
        <v/>
      </c>
      <c r="M302" s="7" t="s">
        <v>219</v>
      </c>
    </row>
    <row r="303" spans="1:13" x14ac:dyDescent="0.25">
      <c r="A303" s="6" t="str">
        <f>"Marie-Anne"</f>
        <v>Marie-Anne</v>
      </c>
      <c r="B303" s="6" t="str">
        <f>"Paul"</f>
        <v>Paul</v>
      </c>
      <c r="C303" s="6" t="str">
        <f t="shared" si="50"/>
        <v>F</v>
      </c>
      <c r="D303" s="6" t="str">
        <f t="shared" si="51"/>
        <v>U16</v>
      </c>
      <c r="E303" s="2">
        <v>2005</v>
      </c>
      <c r="F303" s="6" t="str">
        <f>"Club de judo Torakai"</f>
        <v>Club de judo Torakai</v>
      </c>
      <c r="G303" s="6" t="str">
        <f>"-40kg"</f>
        <v>-40kg</v>
      </c>
      <c r="H303" s="6" t="str">
        <f>"0224606"</f>
        <v>0224606</v>
      </c>
      <c r="I303" s="6" t="str">
        <f t="shared" si="49"/>
        <v>QC</v>
      </c>
      <c r="J303" s="6" t="s">
        <v>174</v>
      </c>
      <c r="K303" s="6" t="str">
        <f>""</f>
        <v/>
      </c>
      <c r="L303" s="6" t="str">
        <f>""</f>
        <v/>
      </c>
      <c r="M303" s="6" t="s">
        <v>220</v>
      </c>
    </row>
    <row r="304" spans="1:13" x14ac:dyDescent="0.25">
      <c r="A304" s="6" t="str">
        <f>"Marie-Lune"</f>
        <v>Marie-Lune</v>
      </c>
      <c r="B304" s="6" t="str">
        <f>"Turmel"</f>
        <v>Turmel</v>
      </c>
      <c r="C304" s="6" t="str">
        <f t="shared" si="50"/>
        <v>F</v>
      </c>
      <c r="D304" s="6" t="str">
        <f t="shared" si="51"/>
        <v>U16</v>
      </c>
      <c r="E304" s="2">
        <v>2004</v>
      </c>
      <c r="F304" s="6" t="str">
        <f>"Académie de judo de Saint-Sauveur"</f>
        <v>Académie de judo de Saint-Sauveur</v>
      </c>
      <c r="G304" s="6" t="str">
        <f>"-40kg"</f>
        <v>-40kg</v>
      </c>
      <c r="H304" s="6" t="str">
        <f>"0197729"</f>
        <v>0197729</v>
      </c>
      <c r="I304" s="6" t="str">
        <f t="shared" si="49"/>
        <v>QC</v>
      </c>
      <c r="J304" s="6" t="s">
        <v>163</v>
      </c>
      <c r="K304" s="6" t="str">
        <f>""</f>
        <v/>
      </c>
      <c r="L304" s="6" t="str">
        <f>""</f>
        <v/>
      </c>
      <c r="M304" s="6" t="s">
        <v>220</v>
      </c>
    </row>
    <row r="305" spans="1:14" x14ac:dyDescent="0.25">
      <c r="A305" s="1" t="str">
        <f>"Léa"</f>
        <v>Léa</v>
      </c>
      <c r="B305" s="1" t="str">
        <f>"Doyon"</f>
        <v>Doyon</v>
      </c>
      <c r="C305" s="1" t="str">
        <f t="shared" si="50"/>
        <v>F</v>
      </c>
      <c r="D305" s="1" t="str">
        <f t="shared" si="51"/>
        <v>U16</v>
      </c>
      <c r="E305" s="2">
        <v>2005</v>
      </c>
      <c r="F305" s="1" t="str">
        <f>"Club de judo Métropolitain inc."</f>
        <v>Club de judo Métropolitain inc.</v>
      </c>
      <c r="G305" s="1" t="str">
        <f>"-44kg"</f>
        <v>-44kg</v>
      </c>
      <c r="H305" s="1" t="str">
        <f>"0409754"</f>
        <v>0409754</v>
      </c>
      <c r="I305" s="1" t="str">
        <f t="shared" si="49"/>
        <v>QC</v>
      </c>
      <c r="J305" s="1" t="s">
        <v>165</v>
      </c>
      <c r="K305" s="1" t="str">
        <f>""</f>
        <v/>
      </c>
      <c r="L305" s="1" t="str">
        <f>""</f>
        <v/>
      </c>
      <c r="M305" s="1" t="s">
        <v>216</v>
      </c>
      <c r="N305" s="1"/>
    </row>
    <row r="306" spans="1:14" x14ac:dyDescent="0.25">
      <c r="A306" s="1" t="str">
        <f>"Zoe"</f>
        <v>Zoe</v>
      </c>
      <c r="B306" s="1" t="str">
        <f>"La Vergne"</f>
        <v>La Vergne</v>
      </c>
      <c r="C306" s="1" t="str">
        <f t="shared" si="50"/>
        <v>F</v>
      </c>
      <c r="D306" s="1" t="str">
        <f t="shared" si="51"/>
        <v>U16</v>
      </c>
      <c r="E306" s="2">
        <v>2005</v>
      </c>
      <c r="F306" s="1" t="str">
        <f>"Club de judo Vallée du Richelieu"</f>
        <v>Club de judo Vallée du Richelieu</v>
      </c>
      <c r="G306" s="1" t="str">
        <f>"-44kg"</f>
        <v>-44kg</v>
      </c>
      <c r="H306" s="1" t="str">
        <f>"0205610"</f>
        <v>0205610</v>
      </c>
      <c r="I306" s="1" t="str">
        <f t="shared" si="49"/>
        <v>QC</v>
      </c>
      <c r="J306" s="1" t="s">
        <v>172</v>
      </c>
      <c r="K306" s="1" t="str">
        <f>""</f>
        <v/>
      </c>
      <c r="L306" s="1" t="str">
        <f>""</f>
        <v/>
      </c>
      <c r="M306" s="1" t="s">
        <v>216</v>
      </c>
      <c r="N306" s="1"/>
    </row>
    <row r="307" spans="1:14" x14ac:dyDescent="0.25">
      <c r="A307" s="7" t="str">
        <f>"Oceane"</f>
        <v>Oceane</v>
      </c>
      <c r="B307" s="7" t="str">
        <f>"Dube"</f>
        <v>Dube</v>
      </c>
      <c r="C307" s="7" t="str">
        <f t="shared" si="50"/>
        <v>F</v>
      </c>
      <c r="D307" s="7" t="str">
        <f t="shared" si="51"/>
        <v>U16</v>
      </c>
      <c r="E307" s="2">
        <v>2005</v>
      </c>
      <c r="F307" s="7" t="str">
        <f>"Judo Univestrie/donini"</f>
        <v>Judo Univestrie/donini</v>
      </c>
      <c r="G307" s="7" t="str">
        <f>"-44kg"</f>
        <v>-44kg</v>
      </c>
      <c r="H307" s="7" t="str">
        <f>"0200520"</f>
        <v>0200520</v>
      </c>
      <c r="I307" s="7" t="str">
        <f t="shared" si="49"/>
        <v>QC</v>
      </c>
      <c r="J307" s="7" t="s">
        <v>174</v>
      </c>
      <c r="K307" s="7" t="str">
        <f>""</f>
        <v/>
      </c>
      <c r="L307" s="7" t="str">
        <f>""</f>
        <v/>
      </c>
      <c r="M307" s="7" t="s">
        <v>221</v>
      </c>
    </row>
    <row r="308" spans="1:14" x14ac:dyDescent="0.25">
      <c r="A308" s="7" t="str">
        <f>"Leanne"</f>
        <v>Leanne</v>
      </c>
      <c r="B308" s="7" t="str">
        <f>"Dussault"</f>
        <v>Dussault</v>
      </c>
      <c r="C308" s="7" t="str">
        <f t="shared" si="50"/>
        <v>F</v>
      </c>
      <c r="D308" s="7" t="str">
        <f t="shared" si="51"/>
        <v>U16</v>
      </c>
      <c r="E308" s="2">
        <v>2006</v>
      </c>
      <c r="F308" s="7" t="str">
        <f>"Club de Judo d'Asbestos-Danville"</f>
        <v>Club de Judo d'Asbestos-Danville</v>
      </c>
      <c r="G308" s="7" t="str">
        <f>"-44kg"</f>
        <v>-44kg</v>
      </c>
      <c r="H308" s="7" t="str">
        <f>"0189104"</f>
        <v>0189104</v>
      </c>
      <c r="I308" s="7" t="str">
        <f t="shared" si="49"/>
        <v>QC</v>
      </c>
      <c r="J308" s="7" t="s">
        <v>174</v>
      </c>
      <c r="K308" s="7" t="str">
        <f>""</f>
        <v/>
      </c>
      <c r="L308" s="4" t="s">
        <v>263</v>
      </c>
      <c r="M308" s="7" t="s">
        <v>221</v>
      </c>
    </row>
    <row r="309" spans="1:14" x14ac:dyDescent="0.25">
      <c r="A309" s="7" t="str">
        <f>"Alaa"</f>
        <v>Alaa</v>
      </c>
      <c r="B309" s="7" t="str">
        <f>"Snani"</f>
        <v>Snani</v>
      </c>
      <c r="C309" s="7" t="str">
        <f t="shared" si="50"/>
        <v>F</v>
      </c>
      <c r="D309" s="7" t="str">
        <f t="shared" si="51"/>
        <v>U16</v>
      </c>
      <c r="E309" s="2">
        <v>2005</v>
      </c>
      <c r="F309" s="7" t="str">
        <f>"Club de judo Olympique"</f>
        <v>Club de judo Olympique</v>
      </c>
      <c r="G309" s="7" t="str">
        <f>"-44kg"</f>
        <v>-44kg</v>
      </c>
      <c r="H309" s="7" t="str">
        <f>"0239626"</f>
        <v>0239626</v>
      </c>
      <c r="I309" s="7" t="str">
        <f t="shared" si="49"/>
        <v>QC</v>
      </c>
      <c r="J309" s="7" t="s">
        <v>174</v>
      </c>
      <c r="K309" s="7" t="str">
        <f>""</f>
        <v/>
      </c>
      <c r="L309" s="7" t="str">
        <f>""</f>
        <v/>
      </c>
      <c r="M309" s="7" t="s">
        <v>221</v>
      </c>
    </row>
    <row r="310" spans="1:14" x14ac:dyDescent="0.25">
      <c r="A310" s="5" t="str">
        <f>"Lea-Jade"</f>
        <v>Lea-Jade</v>
      </c>
      <c r="B310" s="5" t="str">
        <f>"Beaulieu"</f>
        <v>Beaulieu</v>
      </c>
      <c r="C310" s="5" t="str">
        <f t="shared" si="50"/>
        <v>F</v>
      </c>
      <c r="D310" s="5" t="str">
        <f t="shared" si="51"/>
        <v>U16</v>
      </c>
      <c r="E310" s="2">
        <v>2005</v>
      </c>
      <c r="F310" s="5" t="str">
        <f>"Club de judo de l'Université Laval"</f>
        <v>Club de judo de l'Université Laval</v>
      </c>
      <c r="G310" s="5" t="str">
        <f t="shared" ref="G310:G316" si="52">"-48kg"</f>
        <v>-48kg</v>
      </c>
      <c r="H310" s="5" t="str">
        <f>"0207706"</f>
        <v>0207706</v>
      </c>
      <c r="I310" s="5" t="str">
        <f t="shared" si="49"/>
        <v>QC</v>
      </c>
      <c r="J310" s="5" t="s">
        <v>171</v>
      </c>
      <c r="K310" s="5" t="str">
        <f>""</f>
        <v/>
      </c>
      <c r="L310" s="5" t="str">
        <f>""</f>
        <v/>
      </c>
      <c r="M310" s="5" t="s">
        <v>217</v>
      </c>
      <c r="N310" s="5"/>
    </row>
    <row r="311" spans="1:14" x14ac:dyDescent="0.25">
      <c r="A311" s="5" t="str">
        <f>"Marwa"</f>
        <v>Marwa</v>
      </c>
      <c r="B311" s="5" t="str">
        <f>"Misraoui"</f>
        <v>Misraoui</v>
      </c>
      <c r="C311" s="5" t="str">
        <f t="shared" si="50"/>
        <v>F</v>
      </c>
      <c r="D311" s="5" t="str">
        <f t="shared" si="51"/>
        <v>U16</v>
      </c>
      <c r="E311" s="2">
        <v>2005</v>
      </c>
      <c r="F311" s="5" t="str">
        <f>"Club judo St-Leonard"</f>
        <v>Club judo St-Leonard</v>
      </c>
      <c r="G311" s="5" t="str">
        <f t="shared" si="52"/>
        <v>-48kg</v>
      </c>
      <c r="H311" s="5" t="str">
        <f>"0410442"</f>
        <v>0410442</v>
      </c>
      <c r="I311" s="5" t="str">
        <f t="shared" si="49"/>
        <v>QC</v>
      </c>
      <c r="J311" s="5" t="s">
        <v>171</v>
      </c>
      <c r="K311" s="5" t="str">
        <f>""</f>
        <v/>
      </c>
      <c r="L311" s="5" t="str">
        <f>""</f>
        <v/>
      </c>
      <c r="M311" s="5" t="s">
        <v>217</v>
      </c>
      <c r="N311" s="5"/>
    </row>
    <row r="312" spans="1:14" x14ac:dyDescent="0.25">
      <c r="A312" s="6" t="str">
        <f>"Genevieve"</f>
        <v>Genevieve</v>
      </c>
      <c r="B312" s="6" t="str">
        <f>"Beriault"</f>
        <v>Beriault</v>
      </c>
      <c r="C312" s="6" t="str">
        <f t="shared" si="50"/>
        <v>F</v>
      </c>
      <c r="D312" s="6" t="str">
        <f t="shared" si="51"/>
        <v>U16</v>
      </c>
      <c r="E312" s="2">
        <v>2005</v>
      </c>
      <c r="F312" s="6" t="str">
        <f>"Bushidokan"</f>
        <v>Bushidokan</v>
      </c>
      <c r="G312" s="6" t="str">
        <f t="shared" si="52"/>
        <v>-48kg</v>
      </c>
      <c r="H312" s="6" t="str">
        <f>"0196330"</f>
        <v>0196330</v>
      </c>
      <c r="I312" s="6" t="str">
        <f t="shared" si="49"/>
        <v>QC</v>
      </c>
      <c r="J312" s="6" t="s">
        <v>175</v>
      </c>
      <c r="K312" s="6" t="str">
        <f>""</f>
        <v/>
      </c>
      <c r="L312" s="6" t="str">
        <f>""</f>
        <v/>
      </c>
      <c r="M312" s="6" t="s">
        <v>222</v>
      </c>
    </row>
    <row r="313" spans="1:14" x14ac:dyDescent="0.25">
      <c r="A313" s="6" t="str">
        <f>"Ines"</f>
        <v>Ines</v>
      </c>
      <c r="B313" s="6" t="str">
        <f>"Da Costa Correia"</f>
        <v>Da Costa Correia</v>
      </c>
      <c r="C313" s="6" t="str">
        <f t="shared" si="50"/>
        <v>F</v>
      </c>
      <c r="D313" s="6" t="str">
        <f t="shared" si="51"/>
        <v>U16</v>
      </c>
      <c r="E313" s="2">
        <v>2005</v>
      </c>
      <c r="F313" s="6" t="str">
        <f>"Club de Judo Boucherville inc."</f>
        <v>Club de Judo Boucherville inc.</v>
      </c>
      <c r="G313" s="6" t="str">
        <f t="shared" si="52"/>
        <v>-48kg</v>
      </c>
      <c r="H313" s="6" t="str">
        <f>"0214039"</f>
        <v>0214039</v>
      </c>
      <c r="I313" s="6" t="str">
        <f t="shared" si="49"/>
        <v>QC</v>
      </c>
      <c r="J313" s="6" t="s">
        <v>174</v>
      </c>
      <c r="K313" s="6" t="str">
        <f>""</f>
        <v/>
      </c>
      <c r="L313" s="6" t="str">
        <f>""</f>
        <v/>
      </c>
      <c r="M313" s="6" t="s">
        <v>222</v>
      </c>
    </row>
    <row r="314" spans="1:14" x14ac:dyDescent="0.25">
      <c r="A314" s="6" t="str">
        <f>"Coralie"</f>
        <v>Coralie</v>
      </c>
      <c r="B314" s="6" t="str">
        <f>"Nadeau"</f>
        <v>Nadeau</v>
      </c>
      <c r="C314" s="6" t="str">
        <f t="shared" si="50"/>
        <v>F</v>
      </c>
      <c r="D314" s="6" t="str">
        <f t="shared" si="51"/>
        <v>U16</v>
      </c>
      <c r="E314" s="2">
        <v>2005</v>
      </c>
      <c r="F314" s="6" t="str">
        <f>"Club de judo Métropolitain inc."</f>
        <v>Club de judo Métropolitain inc.</v>
      </c>
      <c r="G314" s="6" t="str">
        <f t="shared" si="52"/>
        <v>-48kg</v>
      </c>
      <c r="H314" s="6" t="str">
        <f>"0197658"</f>
        <v>0197658</v>
      </c>
      <c r="I314" s="6" t="str">
        <f t="shared" si="49"/>
        <v>QC</v>
      </c>
      <c r="J314" s="6" t="s">
        <v>174</v>
      </c>
      <c r="K314" s="6" t="str">
        <f>""</f>
        <v/>
      </c>
      <c r="L314" s="6" t="str">
        <f>""</f>
        <v/>
      </c>
      <c r="M314" s="6" t="s">
        <v>222</v>
      </c>
    </row>
    <row r="315" spans="1:14" x14ac:dyDescent="0.25">
      <c r="A315" s="6" t="str">
        <f>"Heidi"</f>
        <v>Heidi</v>
      </c>
      <c r="B315" s="6" t="str">
        <f>"Quach"</f>
        <v>Quach</v>
      </c>
      <c r="C315" s="6" t="str">
        <f t="shared" si="50"/>
        <v>F</v>
      </c>
      <c r="D315" s="6" t="str">
        <f t="shared" si="51"/>
        <v>U16</v>
      </c>
      <c r="E315" s="2">
        <v>2004</v>
      </c>
      <c r="F315" s="6" t="str">
        <f>"Club de judo Métropolitain inc."</f>
        <v>Club de judo Métropolitain inc.</v>
      </c>
      <c r="G315" s="6" t="str">
        <f t="shared" si="52"/>
        <v>-48kg</v>
      </c>
      <c r="H315" s="6" t="str">
        <f>"0233415"</f>
        <v>0233415</v>
      </c>
      <c r="I315" s="6" t="str">
        <f t="shared" si="49"/>
        <v>QC</v>
      </c>
      <c r="J315" s="6" t="s">
        <v>163</v>
      </c>
      <c r="K315" s="6" t="str">
        <f>""</f>
        <v/>
      </c>
      <c r="L315" s="6" t="str">
        <f>""</f>
        <v/>
      </c>
      <c r="M315" s="6" t="s">
        <v>222</v>
      </c>
    </row>
    <row r="316" spans="1:14" x14ac:dyDescent="0.25">
      <c r="A316" s="6" t="str">
        <f>"Amina Sofia"</f>
        <v>Amina Sofia</v>
      </c>
      <c r="B316" s="6" t="str">
        <f>"Rahal"</f>
        <v>Rahal</v>
      </c>
      <c r="C316" s="6" t="str">
        <f t="shared" si="50"/>
        <v>F</v>
      </c>
      <c r="D316" s="6" t="str">
        <f t="shared" si="51"/>
        <v>U16</v>
      </c>
      <c r="E316" s="2">
        <v>2006</v>
      </c>
      <c r="F316" s="6" t="str">
        <f>"Club de judo Shidokan inc."</f>
        <v>Club de judo Shidokan inc.</v>
      </c>
      <c r="G316" s="6" t="str">
        <f t="shared" si="52"/>
        <v>-48kg</v>
      </c>
      <c r="H316" s="6" t="str">
        <f>"0196144"</f>
        <v>0196144</v>
      </c>
      <c r="I316" s="6" t="str">
        <f t="shared" si="49"/>
        <v>QC</v>
      </c>
      <c r="J316" s="6" t="s">
        <v>174</v>
      </c>
      <c r="K316" s="6" t="str">
        <f>""</f>
        <v/>
      </c>
      <c r="L316" s="4" t="s">
        <v>263</v>
      </c>
      <c r="M316" s="6" t="s">
        <v>222</v>
      </c>
    </row>
    <row r="317" spans="1:14" x14ac:dyDescent="0.25">
      <c r="A317" s="7" t="str">
        <f>"Gabriela"</f>
        <v>Gabriela</v>
      </c>
      <c r="B317" s="7" t="str">
        <f>"Campos-Mendanha"</f>
        <v>Campos-Mendanha</v>
      </c>
      <c r="C317" s="7" t="str">
        <f t="shared" si="50"/>
        <v>F</v>
      </c>
      <c r="D317" s="7" t="str">
        <f t="shared" si="51"/>
        <v>U16</v>
      </c>
      <c r="E317" s="2">
        <v>2005</v>
      </c>
      <c r="F317" s="7" t="str">
        <f>"Club de Judo Boucherville inc."</f>
        <v>Club de Judo Boucherville inc.</v>
      </c>
      <c r="G317" s="7" t="str">
        <f t="shared" ref="G317:G324" si="53">"-52kg"</f>
        <v>-52kg</v>
      </c>
      <c r="H317" s="7" t="str">
        <f>"0222207"</f>
        <v>0222207</v>
      </c>
      <c r="I317" s="7" t="str">
        <f t="shared" si="49"/>
        <v>QC</v>
      </c>
      <c r="J317" s="7" t="s">
        <v>174</v>
      </c>
      <c r="K317" s="7" t="str">
        <f>""</f>
        <v/>
      </c>
      <c r="L317" s="7" t="str">
        <f>""</f>
        <v/>
      </c>
      <c r="M317" s="7" t="s">
        <v>223</v>
      </c>
    </row>
    <row r="318" spans="1:14" x14ac:dyDescent="0.25">
      <c r="A318" s="7" t="str">
        <f>"Marie-Soleil"</f>
        <v>Marie-Soleil</v>
      </c>
      <c r="B318" s="7" t="str">
        <f>"Hirt"</f>
        <v>Hirt</v>
      </c>
      <c r="C318" s="7" t="str">
        <f t="shared" si="50"/>
        <v>F</v>
      </c>
      <c r="D318" s="7" t="str">
        <f t="shared" si="51"/>
        <v>U16</v>
      </c>
      <c r="E318" s="2">
        <v>2004</v>
      </c>
      <c r="F318" s="7" t="str">
        <f>"Judo Victo Inc."</f>
        <v>Judo Victo Inc.</v>
      </c>
      <c r="G318" s="7" t="str">
        <f t="shared" si="53"/>
        <v>-52kg</v>
      </c>
      <c r="H318" s="7" t="str">
        <f>"0223438"</f>
        <v>0223438</v>
      </c>
      <c r="I318" s="7" t="str">
        <f t="shared" si="49"/>
        <v>QC</v>
      </c>
      <c r="J318" s="7" t="s">
        <v>174</v>
      </c>
      <c r="K318" s="7" t="str">
        <f>""</f>
        <v/>
      </c>
      <c r="L318" s="7" t="str">
        <f>""</f>
        <v/>
      </c>
      <c r="M318" s="7" t="s">
        <v>223</v>
      </c>
    </row>
    <row r="319" spans="1:14" x14ac:dyDescent="0.25">
      <c r="A319" s="7" t="str">
        <f>"Loundja"</f>
        <v>Loundja</v>
      </c>
      <c r="B319" s="7" t="str">
        <f>"Ikene"</f>
        <v>Ikene</v>
      </c>
      <c r="C319" s="7" t="str">
        <f t="shared" si="50"/>
        <v>F</v>
      </c>
      <c r="D319" s="7" t="str">
        <f t="shared" si="51"/>
        <v>U16</v>
      </c>
      <c r="E319" s="2">
        <v>2005</v>
      </c>
      <c r="F319" s="7" t="str">
        <f>"Club de judo Métropolitain inc."</f>
        <v>Club de judo Métropolitain inc.</v>
      </c>
      <c r="G319" s="7" t="str">
        <f t="shared" si="53"/>
        <v>-52kg</v>
      </c>
      <c r="H319" s="7" t="str">
        <f>"0195172"</f>
        <v>0195172</v>
      </c>
      <c r="I319" s="7" t="str">
        <f t="shared" si="49"/>
        <v>QC</v>
      </c>
      <c r="J319" s="7" t="s">
        <v>163</v>
      </c>
      <c r="K319" s="7" t="str">
        <f>""</f>
        <v/>
      </c>
      <c r="L319" s="7" t="str">
        <f>""</f>
        <v/>
      </c>
      <c r="M319" s="7" t="s">
        <v>223</v>
      </c>
    </row>
    <row r="320" spans="1:14" x14ac:dyDescent="0.25">
      <c r="A320" s="7" t="str">
        <f>"Oceanne"</f>
        <v>Oceanne</v>
      </c>
      <c r="B320" s="7" t="str">
        <f>"Labelle"</f>
        <v>Labelle</v>
      </c>
      <c r="C320" s="7" t="str">
        <f t="shared" si="50"/>
        <v>F</v>
      </c>
      <c r="D320" s="7" t="str">
        <f t="shared" si="51"/>
        <v>U16</v>
      </c>
      <c r="E320" s="2">
        <v>2004</v>
      </c>
      <c r="F320" s="7" t="str">
        <f>"Dojo Zenshin"</f>
        <v>Dojo Zenshin</v>
      </c>
      <c r="G320" s="7" t="str">
        <f t="shared" si="53"/>
        <v>-52kg</v>
      </c>
      <c r="H320" s="7" t="str">
        <f>"0214613"</f>
        <v>0214613</v>
      </c>
      <c r="I320" s="7" t="str">
        <f t="shared" si="49"/>
        <v>QC</v>
      </c>
      <c r="J320" s="7" t="s">
        <v>174</v>
      </c>
      <c r="K320" s="7" t="str">
        <f>""</f>
        <v/>
      </c>
      <c r="L320" s="7" t="str">
        <f>""</f>
        <v/>
      </c>
      <c r="M320" s="7" t="s">
        <v>223</v>
      </c>
    </row>
    <row r="321" spans="1:14" x14ac:dyDescent="0.25">
      <c r="A321" s="7" t="str">
        <f>"Rebeca"</f>
        <v>Rebeca</v>
      </c>
      <c r="B321" s="7" t="str">
        <f>"Manaila"</f>
        <v>Manaila</v>
      </c>
      <c r="C321" s="7" t="str">
        <f t="shared" si="50"/>
        <v>F</v>
      </c>
      <c r="D321" s="7" t="str">
        <f t="shared" si="51"/>
        <v>U16</v>
      </c>
      <c r="E321" s="2">
        <v>2004</v>
      </c>
      <c r="F321" s="7" t="str">
        <f>"Club de judo Shidokan inc."</f>
        <v>Club de judo Shidokan inc.</v>
      </c>
      <c r="G321" s="7" t="str">
        <f t="shared" si="53"/>
        <v>-52kg</v>
      </c>
      <c r="H321" s="7" t="str">
        <f>"0204299"</f>
        <v>0204299</v>
      </c>
      <c r="I321" s="7" t="str">
        <f t="shared" si="49"/>
        <v>QC</v>
      </c>
      <c r="J321" s="7" t="s">
        <v>167</v>
      </c>
      <c r="K321" s="7" t="str">
        <f>""</f>
        <v/>
      </c>
      <c r="L321" s="7" t="str">
        <f>""</f>
        <v/>
      </c>
      <c r="M321" s="7" t="s">
        <v>223</v>
      </c>
    </row>
    <row r="322" spans="1:14" x14ac:dyDescent="0.25">
      <c r="A322" s="7" t="str">
        <f>"Alicia-Rose"</f>
        <v>Alicia-Rose</v>
      </c>
      <c r="B322" s="7" t="str">
        <f>"Minier"</f>
        <v>Minier</v>
      </c>
      <c r="C322" s="7" t="str">
        <f t="shared" si="50"/>
        <v>F</v>
      </c>
      <c r="D322" s="7" t="str">
        <f t="shared" si="51"/>
        <v>U16</v>
      </c>
      <c r="E322" s="2">
        <v>2004</v>
      </c>
      <c r="F322" s="7" t="str">
        <f>"Club de judo Torii"</f>
        <v>Club de judo Torii</v>
      </c>
      <c r="G322" s="7" t="str">
        <f t="shared" si="53"/>
        <v>-52kg</v>
      </c>
      <c r="H322" s="7" t="str">
        <f>"0215676"</f>
        <v>0215676</v>
      </c>
      <c r="I322" s="7" t="str">
        <f t="shared" si="49"/>
        <v>QC</v>
      </c>
      <c r="J322" s="7" t="s">
        <v>175</v>
      </c>
      <c r="K322" s="7" t="str">
        <f>""</f>
        <v/>
      </c>
      <c r="L322" s="7" t="str">
        <f>""</f>
        <v/>
      </c>
      <c r="M322" s="7" t="s">
        <v>223</v>
      </c>
    </row>
    <row r="323" spans="1:14" x14ac:dyDescent="0.25">
      <c r="A323" s="7" t="str">
        <f>"Anastasya"</f>
        <v>Anastasya</v>
      </c>
      <c r="B323" s="7" t="str">
        <f>"Semyroszum"</f>
        <v>Semyroszum</v>
      </c>
      <c r="C323" s="7" t="str">
        <f t="shared" si="50"/>
        <v>F</v>
      </c>
      <c r="D323" s="7" t="str">
        <f t="shared" si="51"/>
        <v>U16</v>
      </c>
      <c r="E323" s="2">
        <v>2004</v>
      </c>
      <c r="F323" s="7" t="str">
        <f>"Sport Centre Ippon"</f>
        <v>Sport Centre Ippon</v>
      </c>
      <c r="G323" s="7" t="str">
        <f t="shared" si="53"/>
        <v>-52kg</v>
      </c>
      <c r="H323" s="7" t="str">
        <f>"0203071"</f>
        <v>0203071</v>
      </c>
      <c r="I323" s="7" t="str">
        <f t="shared" si="49"/>
        <v>QC</v>
      </c>
      <c r="J323" s="7" t="s">
        <v>163</v>
      </c>
      <c r="K323" s="7" t="str">
        <f>""</f>
        <v/>
      </c>
      <c r="L323" s="7" t="str">
        <f>""</f>
        <v/>
      </c>
      <c r="M323" s="7" t="s">
        <v>223</v>
      </c>
    </row>
    <row r="324" spans="1:14" x14ac:dyDescent="0.25">
      <c r="A324" s="7" t="str">
        <f>"Catherine"</f>
        <v>Catherine</v>
      </c>
      <c r="B324" s="7" t="str">
        <f>"Toshkov"</f>
        <v>Toshkov</v>
      </c>
      <c r="C324" s="7" t="str">
        <f t="shared" si="50"/>
        <v>F</v>
      </c>
      <c r="D324" s="7" t="str">
        <f t="shared" si="51"/>
        <v>U16</v>
      </c>
      <c r="E324" s="2">
        <v>2005</v>
      </c>
      <c r="F324" s="7" t="str">
        <f>"Club de Judo Boucherville inc."</f>
        <v>Club de Judo Boucherville inc.</v>
      </c>
      <c r="G324" s="7" t="str">
        <f t="shared" si="53"/>
        <v>-52kg</v>
      </c>
      <c r="H324" s="7" t="str">
        <f>"0194068"</f>
        <v>0194068</v>
      </c>
      <c r="I324" s="7" t="str">
        <f t="shared" si="49"/>
        <v>QC</v>
      </c>
      <c r="J324" s="7" t="s">
        <v>175</v>
      </c>
      <c r="K324" s="7" t="str">
        <f>""</f>
        <v/>
      </c>
      <c r="L324" s="7" t="str">
        <f>""</f>
        <v/>
      </c>
      <c r="M324" s="7" t="s">
        <v>223</v>
      </c>
    </row>
    <row r="325" spans="1:14" x14ac:dyDescent="0.25">
      <c r="A325" s="1" t="str">
        <f>"Mika"</f>
        <v>Mika</v>
      </c>
      <c r="B325" s="1" t="str">
        <f>"Gagné"</f>
        <v>Gagné</v>
      </c>
      <c r="C325" s="1" t="str">
        <f t="shared" si="50"/>
        <v>F</v>
      </c>
      <c r="D325" s="1" t="str">
        <f t="shared" si="51"/>
        <v>U16</v>
      </c>
      <c r="E325" s="2">
        <v>2005</v>
      </c>
      <c r="F325" s="1" t="str">
        <f>"Club de judo Saint-Hyacinthe Inc."</f>
        <v>Club de judo Saint-Hyacinthe Inc.</v>
      </c>
      <c r="G325" s="1" t="str">
        <f t="shared" ref="G325:G338" si="54">"-57kg"</f>
        <v>-57kg</v>
      </c>
      <c r="H325" s="1" t="str">
        <f>"0407619"</f>
        <v>0407619</v>
      </c>
      <c r="I325" s="1" t="str">
        <f t="shared" si="49"/>
        <v>QC</v>
      </c>
      <c r="J325" s="1" t="s">
        <v>166</v>
      </c>
      <c r="K325" s="1" t="str">
        <f>""</f>
        <v/>
      </c>
      <c r="L325" s="1" t="str">
        <f>""</f>
        <v/>
      </c>
      <c r="M325" s="1" t="s">
        <v>218</v>
      </c>
      <c r="N325" s="1"/>
    </row>
    <row r="326" spans="1:14" x14ac:dyDescent="0.25">
      <c r="A326" s="1" t="str">
        <f>"Marie-Soleil"</f>
        <v>Marie-Soleil</v>
      </c>
      <c r="B326" s="1" t="str">
        <f>"Hotte"</f>
        <v>Hotte</v>
      </c>
      <c r="C326" s="1" t="str">
        <f t="shared" si="50"/>
        <v>F</v>
      </c>
      <c r="D326" s="1" t="str">
        <f t="shared" si="51"/>
        <v>U16</v>
      </c>
      <c r="E326" s="2">
        <v>2005</v>
      </c>
      <c r="F326" s="1" t="str">
        <f>"Club de Judo Multisports"</f>
        <v>Club de Judo Multisports</v>
      </c>
      <c r="G326" s="1" t="str">
        <f t="shared" si="54"/>
        <v>-57kg</v>
      </c>
      <c r="H326" s="1" t="str">
        <f>"0225089"</f>
        <v>0225089</v>
      </c>
      <c r="I326" s="1" t="str">
        <f t="shared" si="49"/>
        <v>QC</v>
      </c>
      <c r="J326" s="1" t="s">
        <v>171</v>
      </c>
      <c r="K326" s="1" t="str">
        <f>""</f>
        <v/>
      </c>
      <c r="L326" s="1" t="str">
        <f>""</f>
        <v/>
      </c>
      <c r="M326" s="1" t="s">
        <v>218</v>
      </c>
      <c r="N326" s="1"/>
    </row>
    <row r="327" spans="1:14" x14ac:dyDescent="0.25">
      <c r="A327" s="6" t="str">
        <f>"Sophie"</f>
        <v>Sophie</v>
      </c>
      <c r="B327" s="6" t="str">
        <f>"Arnold"</f>
        <v>Arnold</v>
      </c>
      <c r="C327" s="6" t="str">
        <f t="shared" si="50"/>
        <v>F</v>
      </c>
      <c r="D327" s="6" t="str">
        <f t="shared" si="51"/>
        <v>U16</v>
      </c>
      <c r="E327" s="2">
        <v>2005</v>
      </c>
      <c r="F327" s="6" t="str">
        <f>"Club de Judo d'Asbestos-Danville"</f>
        <v>Club de Judo d'Asbestos-Danville</v>
      </c>
      <c r="G327" s="6" t="str">
        <f t="shared" si="54"/>
        <v>-57kg</v>
      </c>
      <c r="H327" s="6" t="str">
        <f>"0214410"</f>
        <v>0214410</v>
      </c>
      <c r="I327" s="6" t="str">
        <f t="shared" ref="I327:I340" si="55">"QC"</f>
        <v>QC</v>
      </c>
      <c r="J327" s="6" t="s">
        <v>174</v>
      </c>
      <c r="K327" s="6" t="str">
        <f>""</f>
        <v/>
      </c>
      <c r="L327" s="6" t="str">
        <f>""</f>
        <v/>
      </c>
      <c r="M327" s="6" t="s">
        <v>224</v>
      </c>
    </row>
    <row r="328" spans="1:14" x14ac:dyDescent="0.25">
      <c r="A328" s="6" t="str">
        <f>"Douaa"</f>
        <v>Douaa</v>
      </c>
      <c r="B328" s="6" t="str">
        <f>"Bacheikh"</f>
        <v>Bacheikh</v>
      </c>
      <c r="C328" s="6" t="str">
        <f t="shared" si="50"/>
        <v>F</v>
      </c>
      <c r="D328" s="6" t="str">
        <f t="shared" si="51"/>
        <v>U16</v>
      </c>
      <c r="E328" s="2">
        <v>2004</v>
      </c>
      <c r="F328" s="6" t="str">
        <f>"Club Judo Ben Inc."</f>
        <v>Club Judo Ben Inc.</v>
      </c>
      <c r="G328" s="6" t="str">
        <f t="shared" si="54"/>
        <v>-57kg</v>
      </c>
      <c r="H328" s="6" t="str">
        <f>"0227387"</f>
        <v>0227387</v>
      </c>
      <c r="I328" s="6" t="str">
        <f t="shared" si="55"/>
        <v>QC</v>
      </c>
      <c r="J328" s="6" t="s">
        <v>163</v>
      </c>
      <c r="K328" s="6" t="str">
        <f>""</f>
        <v/>
      </c>
      <c r="L328" s="6" t="str">
        <f>""</f>
        <v/>
      </c>
      <c r="M328" s="6" t="s">
        <v>224</v>
      </c>
    </row>
    <row r="329" spans="1:14" x14ac:dyDescent="0.25">
      <c r="A329" s="6" t="str">
        <f>"Alyssa"</f>
        <v>Alyssa</v>
      </c>
      <c r="B329" s="6" t="str">
        <f>"Bellavance"</f>
        <v>Bellavance</v>
      </c>
      <c r="C329" s="6" t="str">
        <f t="shared" si="50"/>
        <v>F</v>
      </c>
      <c r="D329" s="6" t="str">
        <f t="shared" si="51"/>
        <v>U16</v>
      </c>
      <c r="E329" s="2">
        <v>2005</v>
      </c>
      <c r="F329" s="6" t="str">
        <f>"Club de judo Saint-Hyacinthe Inc."</f>
        <v>Club de judo Saint-Hyacinthe Inc.</v>
      </c>
      <c r="G329" s="6" t="str">
        <f t="shared" si="54"/>
        <v>-57kg</v>
      </c>
      <c r="H329" s="6" t="str">
        <f>"0208366"</f>
        <v>0208366</v>
      </c>
      <c r="I329" s="6" t="str">
        <f t="shared" si="55"/>
        <v>QC</v>
      </c>
      <c r="J329" s="6" t="s">
        <v>163</v>
      </c>
      <c r="K329" s="6" t="str">
        <f>""</f>
        <v/>
      </c>
      <c r="L329" s="6" t="str">
        <f>""</f>
        <v/>
      </c>
      <c r="M329" s="6" t="s">
        <v>224</v>
      </c>
    </row>
    <row r="330" spans="1:14" x14ac:dyDescent="0.25">
      <c r="A330" s="6" t="str">
        <f>"Rose"</f>
        <v>Rose</v>
      </c>
      <c r="B330" s="6" t="str">
        <f>"Bolte"</f>
        <v>Bolte</v>
      </c>
      <c r="C330" s="6" t="str">
        <f t="shared" si="50"/>
        <v>F</v>
      </c>
      <c r="D330" s="6" t="str">
        <f t="shared" si="51"/>
        <v>U16</v>
      </c>
      <c r="E330" s="2">
        <v>2004</v>
      </c>
      <c r="F330" s="6" t="str">
        <f>"Club de judo de Varennes"</f>
        <v>Club de judo de Varennes</v>
      </c>
      <c r="G330" s="6" t="str">
        <f t="shared" si="54"/>
        <v>-57kg</v>
      </c>
      <c r="H330" s="6" t="str">
        <f>"0196930"</f>
        <v>0196930</v>
      </c>
      <c r="I330" s="6" t="str">
        <f t="shared" si="55"/>
        <v>QC</v>
      </c>
      <c r="J330" s="6" t="s">
        <v>163</v>
      </c>
      <c r="K330" s="6" t="str">
        <f>""</f>
        <v/>
      </c>
      <c r="L330" s="6" t="str">
        <f>""</f>
        <v/>
      </c>
      <c r="M330" s="6" t="s">
        <v>224</v>
      </c>
    </row>
    <row r="331" spans="1:14" x14ac:dyDescent="0.25">
      <c r="A331" s="6" t="str">
        <f>"Ariane"</f>
        <v>Ariane</v>
      </c>
      <c r="B331" s="6" t="str">
        <f>"Bonin"</f>
        <v>Bonin</v>
      </c>
      <c r="C331" s="6" t="str">
        <f t="shared" si="50"/>
        <v>F</v>
      </c>
      <c r="D331" s="6" t="str">
        <f t="shared" ref="D331:D362" si="56">"U16"</f>
        <v>U16</v>
      </c>
      <c r="E331" s="2">
        <v>2005</v>
      </c>
      <c r="F331" s="6" t="str">
        <f>"Club de Judo Boucherville inc."</f>
        <v>Club de Judo Boucherville inc.</v>
      </c>
      <c r="G331" s="6" t="str">
        <f t="shared" si="54"/>
        <v>-57kg</v>
      </c>
      <c r="H331" s="6" t="str">
        <f>"0170987"</f>
        <v>0170987</v>
      </c>
      <c r="I331" s="6" t="str">
        <f t="shared" si="55"/>
        <v>QC</v>
      </c>
      <c r="J331" s="6" t="s">
        <v>163</v>
      </c>
      <c r="K331" s="6" t="str">
        <f>""</f>
        <v/>
      </c>
      <c r="L331" s="6" t="str">
        <f>""</f>
        <v/>
      </c>
      <c r="M331" s="6" t="s">
        <v>224</v>
      </c>
    </row>
    <row r="332" spans="1:14" x14ac:dyDescent="0.25">
      <c r="A332" s="6" t="str">
        <f>"Marguerite"</f>
        <v>Marguerite</v>
      </c>
      <c r="B332" s="6" t="str">
        <f>"Champagne"</f>
        <v>Champagne</v>
      </c>
      <c r="C332" s="6" t="str">
        <f t="shared" si="50"/>
        <v>F</v>
      </c>
      <c r="D332" s="6" t="str">
        <f t="shared" si="56"/>
        <v>U16</v>
      </c>
      <c r="E332" s="2">
        <v>2005</v>
      </c>
      <c r="F332" s="6" t="str">
        <f>"Club de judo Saint-Hyacinthe Inc."</f>
        <v>Club de judo Saint-Hyacinthe Inc.</v>
      </c>
      <c r="G332" s="6" t="str">
        <f t="shared" si="54"/>
        <v>-57kg</v>
      </c>
      <c r="H332" s="6" t="str">
        <f>"0208371"</f>
        <v>0208371</v>
      </c>
      <c r="I332" s="6" t="str">
        <f t="shared" si="55"/>
        <v>QC</v>
      </c>
      <c r="J332" s="6" t="s">
        <v>163</v>
      </c>
      <c r="K332" s="6" t="str">
        <f>""</f>
        <v/>
      </c>
      <c r="L332" s="6" t="str">
        <f>""</f>
        <v/>
      </c>
      <c r="M332" s="6" t="s">
        <v>224</v>
      </c>
    </row>
    <row r="333" spans="1:14" x14ac:dyDescent="0.25">
      <c r="A333" s="6" t="str">
        <f>"Adele"</f>
        <v>Adele</v>
      </c>
      <c r="B333" s="6" t="str">
        <f>"Charneau"</f>
        <v>Charneau</v>
      </c>
      <c r="C333" s="6" t="str">
        <f t="shared" si="50"/>
        <v>F</v>
      </c>
      <c r="D333" s="6" t="str">
        <f t="shared" si="56"/>
        <v>U16</v>
      </c>
      <c r="E333" s="2">
        <v>2005</v>
      </c>
      <c r="F333" s="6" t="str">
        <f>"Club de judo St-Paul l'Ermite"</f>
        <v>Club de judo St-Paul l'Ermite</v>
      </c>
      <c r="G333" s="6" t="str">
        <f t="shared" si="54"/>
        <v>-57kg</v>
      </c>
      <c r="H333" s="6" t="str">
        <f>"0189040"</f>
        <v>0189040</v>
      </c>
      <c r="I333" s="6" t="str">
        <f t="shared" si="55"/>
        <v>QC</v>
      </c>
      <c r="J333" s="6" t="s">
        <v>163</v>
      </c>
      <c r="K333" s="6" t="str">
        <f>""</f>
        <v/>
      </c>
      <c r="L333" s="6" t="str">
        <f>""</f>
        <v/>
      </c>
      <c r="M333" s="6" t="s">
        <v>224</v>
      </c>
    </row>
    <row r="334" spans="1:14" x14ac:dyDescent="0.25">
      <c r="A334" s="6" t="str">
        <f>"Rose-Hélène"</f>
        <v>Rose-Hélène</v>
      </c>
      <c r="B334" s="6" t="str">
        <f>"Desroches"</f>
        <v>Desroches</v>
      </c>
      <c r="C334" s="6" t="str">
        <f t="shared" si="50"/>
        <v>F</v>
      </c>
      <c r="D334" s="6" t="str">
        <f t="shared" si="56"/>
        <v>U16</v>
      </c>
      <c r="E334" s="2">
        <v>2004</v>
      </c>
      <c r="F334" s="6" t="str">
        <f>"Kime-Waza  Joliette"</f>
        <v>Kime-Waza  Joliette</v>
      </c>
      <c r="G334" s="6" t="str">
        <f t="shared" si="54"/>
        <v>-57kg</v>
      </c>
      <c r="H334" s="6" t="str">
        <f>"0161532"</f>
        <v>0161532</v>
      </c>
      <c r="I334" s="6" t="str">
        <f t="shared" si="55"/>
        <v>QC</v>
      </c>
      <c r="J334" s="6" t="s">
        <v>174</v>
      </c>
      <c r="K334" s="6" t="str">
        <f>""</f>
        <v/>
      </c>
      <c r="L334" s="6" t="str">
        <f>""</f>
        <v/>
      </c>
      <c r="M334" s="6" t="s">
        <v>224</v>
      </c>
    </row>
    <row r="335" spans="1:14" x14ac:dyDescent="0.25">
      <c r="A335" s="6" t="str">
        <f>"Leonarda"</f>
        <v>Leonarda</v>
      </c>
      <c r="B335" s="6" t="str">
        <f>"Horak"</f>
        <v>Horak</v>
      </c>
      <c r="C335" s="6" t="str">
        <f t="shared" si="50"/>
        <v>F</v>
      </c>
      <c r="D335" s="6" t="str">
        <f t="shared" si="56"/>
        <v>U16</v>
      </c>
      <c r="E335" s="2">
        <v>2004</v>
      </c>
      <c r="F335" s="6" t="str">
        <f>"Club de judo Shidokan inc."</f>
        <v>Club de judo Shidokan inc.</v>
      </c>
      <c r="G335" s="6" t="str">
        <f t="shared" si="54"/>
        <v>-57kg</v>
      </c>
      <c r="H335" s="6" t="str">
        <f>"0196147"</f>
        <v>0196147</v>
      </c>
      <c r="I335" s="6" t="str">
        <f t="shared" si="55"/>
        <v>QC</v>
      </c>
      <c r="J335" s="6" t="s">
        <v>167</v>
      </c>
      <c r="K335" s="6" t="str">
        <f>""</f>
        <v/>
      </c>
      <c r="L335" s="6" t="str">
        <f>""</f>
        <v/>
      </c>
      <c r="M335" s="6" t="s">
        <v>224</v>
      </c>
    </row>
    <row r="336" spans="1:14" x14ac:dyDescent="0.25">
      <c r="A336" s="6" t="str">
        <f>"Frederique"</f>
        <v>Frederique</v>
      </c>
      <c r="B336" s="6" t="str">
        <f>"Lavigne"</f>
        <v>Lavigne</v>
      </c>
      <c r="C336" s="6" t="str">
        <f t="shared" si="50"/>
        <v>F</v>
      </c>
      <c r="D336" s="6" t="str">
        <f t="shared" si="56"/>
        <v>U16</v>
      </c>
      <c r="E336" s="2">
        <v>2006</v>
      </c>
      <c r="F336" s="6" t="str">
        <f>"Club de judo Métropolitain inc."</f>
        <v>Club de judo Métropolitain inc.</v>
      </c>
      <c r="G336" s="6" t="str">
        <f t="shared" si="54"/>
        <v>-57kg</v>
      </c>
      <c r="H336" s="6" t="str">
        <f>"0197620"</f>
        <v>0197620</v>
      </c>
      <c r="I336" s="6" t="str">
        <f t="shared" si="55"/>
        <v>QC</v>
      </c>
      <c r="J336" s="6" t="s">
        <v>174</v>
      </c>
      <c r="K336" s="6" t="str">
        <f>""</f>
        <v/>
      </c>
      <c r="L336" s="4" t="s">
        <v>263</v>
      </c>
      <c r="M336" s="6" t="s">
        <v>224</v>
      </c>
    </row>
    <row r="337" spans="1:13" x14ac:dyDescent="0.25">
      <c r="A337" s="6" t="str">
        <f>"Elysabeth"</f>
        <v>Elysabeth</v>
      </c>
      <c r="B337" s="6" t="str">
        <f>"Lefebvre"</f>
        <v>Lefebvre</v>
      </c>
      <c r="C337" s="6" t="str">
        <f t="shared" si="50"/>
        <v>F</v>
      </c>
      <c r="D337" s="6" t="str">
        <f t="shared" si="56"/>
        <v>U16</v>
      </c>
      <c r="E337" s="2">
        <v>2004</v>
      </c>
      <c r="F337" s="6" t="str">
        <f>"Club de Judo Shawinigan"</f>
        <v>Club de Judo Shawinigan</v>
      </c>
      <c r="G337" s="6" t="str">
        <f t="shared" si="54"/>
        <v>-57kg</v>
      </c>
      <c r="H337" s="6" t="str">
        <f>"0203864"</f>
        <v>0203864</v>
      </c>
      <c r="I337" s="6" t="str">
        <f t="shared" si="55"/>
        <v>QC</v>
      </c>
      <c r="J337" s="6" t="s">
        <v>175</v>
      </c>
      <c r="K337" s="6" t="str">
        <f>""</f>
        <v/>
      </c>
      <c r="L337" s="6" t="str">
        <f>""</f>
        <v/>
      </c>
      <c r="M337" s="6" t="s">
        <v>224</v>
      </c>
    </row>
    <row r="338" spans="1:13" x14ac:dyDescent="0.25">
      <c r="A338" s="6" t="str">
        <f>"Meloize"</f>
        <v>Meloize</v>
      </c>
      <c r="B338" s="6" t="str">
        <f>"Perkinson"</f>
        <v>Perkinson</v>
      </c>
      <c r="C338" s="6" t="str">
        <f t="shared" si="50"/>
        <v>F</v>
      </c>
      <c r="D338" s="6" t="str">
        <f t="shared" si="56"/>
        <v>U16</v>
      </c>
      <c r="E338" s="2">
        <v>2005</v>
      </c>
      <c r="F338" s="6" t="str">
        <f>"Club de judo Vallée du Richelieu"</f>
        <v>Club de judo Vallée du Richelieu</v>
      </c>
      <c r="G338" s="6" t="str">
        <f t="shared" si="54"/>
        <v>-57kg</v>
      </c>
      <c r="H338" s="6" t="str">
        <f>"0223939"</f>
        <v>0223939</v>
      </c>
      <c r="I338" s="6" t="str">
        <f t="shared" si="55"/>
        <v>QC</v>
      </c>
      <c r="J338" s="6" t="s">
        <v>174</v>
      </c>
      <c r="K338" s="6" t="str">
        <f>""</f>
        <v/>
      </c>
      <c r="L338" s="6" t="str">
        <f>""</f>
        <v/>
      </c>
      <c r="M338" s="6" t="s">
        <v>224</v>
      </c>
    </row>
    <row r="339" spans="1:13" x14ac:dyDescent="0.25">
      <c r="A339" s="7" t="str">
        <f>"Abigael"</f>
        <v>Abigael</v>
      </c>
      <c r="B339" s="7" t="str">
        <f>"Bourgoin"</f>
        <v>Bourgoin</v>
      </c>
      <c r="C339" s="7" t="str">
        <f t="shared" si="50"/>
        <v>F</v>
      </c>
      <c r="D339" s="7" t="str">
        <f t="shared" si="56"/>
        <v>U16</v>
      </c>
      <c r="E339" s="2">
        <v>2005</v>
      </c>
      <c r="F339" s="7" t="str">
        <f>"Club de judo de la vieille capitale"</f>
        <v>Club de judo de la vieille capitale</v>
      </c>
      <c r="G339" s="7" t="str">
        <f>"-63kg"</f>
        <v>-63kg</v>
      </c>
      <c r="H339" s="7" t="str">
        <f>"0409463"</f>
        <v>0409463</v>
      </c>
      <c r="I339" s="7" t="str">
        <f t="shared" si="55"/>
        <v>QC</v>
      </c>
      <c r="J339" s="7" t="s">
        <v>174</v>
      </c>
      <c r="K339" s="7" t="str">
        <f>""</f>
        <v/>
      </c>
      <c r="L339" s="7" t="str">
        <f>""</f>
        <v/>
      </c>
      <c r="M339" s="7" t="s">
        <v>225</v>
      </c>
    </row>
    <row r="340" spans="1:13" x14ac:dyDescent="0.25">
      <c r="A340" s="7" t="str">
        <f>"Loane"</f>
        <v>Loane</v>
      </c>
      <c r="B340" s="7" t="str">
        <f>"Gill"</f>
        <v>Gill</v>
      </c>
      <c r="C340" s="7" t="str">
        <f t="shared" si="50"/>
        <v>F</v>
      </c>
      <c r="D340" s="7" t="str">
        <f t="shared" si="56"/>
        <v>U16</v>
      </c>
      <c r="E340" s="2">
        <v>2005</v>
      </c>
      <c r="F340" s="7" t="str">
        <f>"Club de judo Métropolitain inc."</f>
        <v>Club de judo Métropolitain inc.</v>
      </c>
      <c r="G340" s="7" t="str">
        <f>"-63kg"</f>
        <v>-63kg</v>
      </c>
      <c r="H340" s="7" t="str">
        <f>"0223674"</f>
        <v>0223674</v>
      </c>
      <c r="I340" s="7" t="str">
        <f t="shared" si="55"/>
        <v>QC</v>
      </c>
      <c r="J340" s="7" t="s">
        <v>174</v>
      </c>
      <c r="K340" s="7" t="str">
        <f>""</f>
        <v/>
      </c>
      <c r="L340" s="7" t="str">
        <f>""</f>
        <v/>
      </c>
      <c r="M340" s="7" t="s">
        <v>225</v>
      </c>
    </row>
    <row r="341" spans="1:13" x14ac:dyDescent="0.25">
      <c r="A341" s="7" t="s">
        <v>91</v>
      </c>
      <c r="B341" s="7" t="s">
        <v>92</v>
      </c>
      <c r="C341" s="7" t="s">
        <v>52</v>
      </c>
      <c r="D341" s="7" t="str">
        <f t="shared" si="56"/>
        <v>U16</v>
      </c>
      <c r="E341" s="2">
        <v>2004</v>
      </c>
      <c r="F341" s="7" t="s">
        <v>14</v>
      </c>
      <c r="G341" s="7" t="s">
        <v>53</v>
      </c>
      <c r="H341" s="7" t="s">
        <v>93</v>
      </c>
      <c r="I341" s="7" t="s">
        <v>17</v>
      </c>
      <c r="J341" s="7" t="s">
        <v>167</v>
      </c>
      <c r="K341" s="7" t="s">
        <v>10</v>
      </c>
      <c r="L341" s="7" t="s">
        <v>10</v>
      </c>
      <c r="M341" s="7" t="s">
        <v>225</v>
      </c>
    </row>
    <row r="342" spans="1:13" x14ac:dyDescent="0.25">
      <c r="A342" s="7" t="str">
        <f>"Loika"</f>
        <v>Loika</v>
      </c>
      <c r="B342" s="7" t="str">
        <f>"Robertson"</f>
        <v>Robertson</v>
      </c>
      <c r="C342" s="7" t="str">
        <f>"F"</f>
        <v>F</v>
      </c>
      <c r="D342" s="7" t="str">
        <f t="shared" si="56"/>
        <v>U16</v>
      </c>
      <c r="E342" s="2">
        <v>2005</v>
      </c>
      <c r="F342" s="7" t="str">
        <f>"Club de judo St-Jean Bosco de Hull"</f>
        <v>Club de judo St-Jean Bosco de Hull</v>
      </c>
      <c r="G342" s="7" t="str">
        <f>"-63kg"</f>
        <v>-63kg</v>
      </c>
      <c r="H342" s="7" t="str">
        <f>"0227760"</f>
        <v>0227760</v>
      </c>
      <c r="I342" s="7" t="str">
        <f>"QC"</f>
        <v>QC</v>
      </c>
      <c r="J342" s="7" t="s">
        <v>163</v>
      </c>
      <c r="K342" s="7" t="str">
        <f>""</f>
        <v/>
      </c>
      <c r="L342" s="7" t="str">
        <f>""</f>
        <v/>
      </c>
      <c r="M342" s="7" t="s">
        <v>225</v>
      </c>
    </row>
    <row r="343" spans="1:13" x14ac:dyDescent="0.25">
      <c r="A343" s="7" t="s">
        <v>50</v>
      </c>
      <c r="B343" s="7" t="s">
        <v>51</v>
      </c>
      <c r="C343" s="7" t="s">
        <v>52</v>
      </c>
      <c r="D343" s="7" t="str">
        <f t="shared" si="56"/>
        <v>U16</v>
      </c>
      <c r="E343" s="2">
        <v>2004</v>
      </c>
      <c r="F343" s="7" t="s">
        <v>14</v>
      </c>
      <c r="G343" s="7" t="s">
        <v>53</v>
      </c>
      <c r="H343" s="7" t="s">
        <v>54</v>
      </c>
      <c r="I343" s="7" t="s">
        <v>17</v>
      </c>
      <c r="J343" s="7" t="s">
        <v>174</v>
      </c>
      <c r="K343" s="7" t="s">
        <v>10</v>
      </c>
      <c r="L343" s="7" t="s">
        <v>10</v>
      </c>
      <c r="M343" s="7" t="s">
        <v>225</v>
      </c>
    </row>
    <row r="344" spans="1:13" x14ac:dyDescent="0.25">
      <c r="A344" s="4" t="str">
        <f>"Mélodie"</f>
        <v>Mélodie</v>
      </c>
      <c r="B344" s="4" t="str">
        <f>"St-Onge"</f>
        <v>St-Onge</v>
      </c>
      <c r="C344" s="4" t="str">
        <f>"F"</f>
        <v>F</v>
      </c>
      <c r="D344" s="4" t="str">
        <f t="shared" si="56"/>
        <v>U16</v>
      </c>
      <c r="E344" s="2">
        <v>2005</v>
      </c>
      <c r="F344" s="4" t="str">
        <f>"Club de Judo d'Asbestos-Danville"</f>
        <v>Club de Judo d'Asbestos-Danville</v>
      </c>
      <c r="G344" s="4" t="str">
        <f>"-70kg"</f>
        <v>-70kg</v>
      </c>
      <c r="H344" s="4" t="str">
        <f>"0175310"</f>
        <v>0175310</v>
      </c>
      <c r="I344" s="4" t="str">
        <f t="shared" ref="I344:I351" si="57">"QC"</f>
        <v>QC</v>
      </c>
      <c r="J344" s="4" t="s">
        <v>175</v>
      </c>
      <c r="K344" s="4" t="str">
        <f>""</f>
        <v/>
      </c>
      <c r="L344" s="4" t="s">
        <v>180</v>
      </c>
      <c r="M344" s="4" t="s">
        <v>226</v>
      </c>
    </row>
    <row r="345" spans="1:13" x14ac:dyDescent="0.25">
      <c r="A345" s="7" t="str">
        <f>"Rayan"</f>
        <v>Rayan</v>
      </c>
      <c r="B345" s="7" t="str">
        <f>"Bélal"</f>
        <v>Bélal</v>
      </c>
      <c r="C345" s="7" t="str">
        <f t="shared" ref="C345:C351" si="58">"M"</f>
        <v>M</v>
      </c>
      <c r="D345" s="7" t="str">
        <f t="shared" si="56"/>
        <v>U16</v>
      </c>
      <c r="E345" s="2">
        <v>2005</v>
      </c>
      <c r="F345" s="7" t="str">
        <f>"Club de judo Olympique"</f>
        <v>Club de judo Olympique</v>
      </c>
      <c r="G345" s="7" t="str">
        <f t="shared" ref="G345:G356" si="59">"+73kg"</f>
        <v>+73kg</v>
      </c>
      <c r="H345" s="7" t="str">
        <f>"0185407"</f>
        <v>0185407</v>
      </c>
      <c r="I345" s="7" t="str">
        <f t="shared" si="57"/>
        <v>QC</v>
      </c>
      <c r="J345" s="7" t="s">
        <v>175</v>
      </c>
      <c r="K345" s="7" t="str">
        <f>""</f>
        <v/>
      </c>
      <c r="L345" s="7" t="str">
        <f>""</f>
        <v/>
      </c>
      <c r="M345" s="7" t="s">
        <v>227</v>
      </c>
    </row>
    <row r="346" spans="1:13" x14ac:dyDescent="0.25">
      <c r="A346" s="7" t="str">
        <f>"Jamal"</f>
        <v>Jamal</v>
      </c>
      <c r="B346" s="7" t="str">
        <f>"Kane"</f>
        <v>Kane</v>
      </c>
      <c r="C346" s="7" t="str">
        <f t="shared" si="58"/>
        <v>M</v>
      </c>
      <c r="D346" s="7" t="str">
        <f t="shared" si="56"/>
        <v>U16</v>
      </c>
      <c r="E346" s="2">
        <v>2005</v>
      </c>
      <c r="F346" s="7" t="str">
        <f>"Club de judo Olympique"</f>
        <v>Club de judo Olympique</v>
      </c>
      <c r="G346" s="7" t="str">
        <f t="shared" si="59"/>
        <v>+73kg</v>
      </c>
      <c r="H346" s="7" t="str">
        <f>"0226662"</f>
        <v>0226662</v>
      </c>
      <c r="I346" s="7" t="str">
        <f t="shared" si="57"/>
        <v>QC</v>
      </c>
      <c r="J346" s="7" t="s">
        <v>174</v>
      </c>
      <c r="K346" s="7" t="str">
        <f>""</f>
        <v/>
      </c>
      <c r="L346" s="7" t="str">
        <f>""</f>
        <v/>
      </c>
      <c r="M346" s="7" t="s">
        <v>227</v>
      </c>
    </row>
    <row r="347" spans="1:13" x14ac:dyDescent="0.25">
      <c r="A347" s="7" t="str">
        <f>"Xavier"</f>
        <v>Xavier</v>
      </c>
      <c r="B347" s="7" t="str">
        <f>"Landry"</f>
        <v>Landry</v>
      </c>
      <c r="C347" s="7" t="str">
        <f t="shared" si="58"/>
        <v>M</v>
      </c>
      <c r="D347" s="7" t="str">
        <f t="shared" si="56"/>
        <v>U16</v>
      </c>
      <c r="E347" s="2">
        <v>2005</v>
      </c>
      <c r="F347" s="7" t="str">
        <f>"Judo Victo Inc."</f>
        <v>Judo Victo Inc.</v>
      </c>
      <c r="G347" s="7" t="str">
        <f t="shared" si="59"/>
        <v>+73kg</v>
      </c>
      <c r="H347" s="7" t="str">
        <f>"0199320"</f>
        <v>0199320</v>
      </c>
      <c r="I347" s="7" t="str">
        <f t="shared" si="57"/>
        <v>QC</v>
      </c>
      <c r="J347" s="7" t="s">
        <v>174</v>
      </c>
      <c r="K347" s="7" t="str">
        <f>""</f>
        <v/>
      </c>
      <c r="L347" s="7" t="str">
        <f>""</f>
        <v/>
      </c>
      <c r="M347" s="7" t="s">
        <v>227</v>
      </c>
    </row>
    <row r="348" spans="1:13" x14ac:dyDescent="0.25">
      <c r="A348" s="7" t="str">
        <f>"Justin"</f>
        <v>Justin</v>
      </c>
      <c r="B348" s="7" t="str">
        <f>"Lefebvre"</f>
        <v>Lefebvre</v>
      </c>
      <c r="C348" s="7" t="str">
        <f t="shared" si="58"/>
        <v>M</v>
      </c>
      <c r="D348" s="7" t="str">
        <f t="shared" si="56"/>
        <v>U16</v>
      </c>
      <c r="E348" s="2">
        <v>2005</v>
      </c>
      <c r="F348" s="7" t="str">
        <f>"Club de Judo d'Asbestos-Danville"</f>
        <v>Club de Judo d'Asbestos-Danville</v>
      </c>
      <c r="G348" s="7" t="str">
        <f t="shared" si="59"/>
        <v>+73kg</v>
      </c>
      <c r="H348" s="7" t="str">
        <f>"0206504"</f>
        <v>0206504</v>
      </c>
      <c r="I348" s="7" t="str">
        <f t="shared" si="57"/>
        <v>QC</v>
      </c>
      <c r="J348" s="7" t="s">
        <v>174</v>
      </c>
      <c r="K348" s="7" t="str">
        <f>""</f>
        <v/>
      </c>
      <c r="L348" s="7" t="str">
        <f>""</f>
        <v/>
      </c>
      <c r="M348" s="7" t="s">
        <v>227</v>
      </c>
    </row>
    <row r="349" spans="1:13" x14ac:dyDescent="0.25">
      <c r="A349" s="7" t="str">
        <f>"Yanis"</f>
        <v>Yanis</v>
      </c>
      <c r="B349" s="7" t="str">
        <f>"Louahla"</f>
        <v>Louahla</v>
      </c>
      <c r="C349" s="7" t="str">
        <f t="shared" si="58"/>
        <v>M</v>
      </c>
      <c r="D349" s="7" t="str">
        <f t="shared" si="56"/>
        <v>U16</v>
      </c>
      <c r="E349" s="2">
        <v>2005</v>
      </c>
      <c r="F349" s="7" t="str">
        <f>"Club de judo Métropolitain inc."</f>
        <v>Club de judo Métropolitain inc.</v>
      </c>
      <c r="G349" s="7" t="str">
        <f t="shared" si="59"/>
        <v>+73kg</v>
      </c>
      <c r="H349" s="7" t="str">
        <f>"0221731"</f>
        <v>0221731</v>
      </c>
      <c r="I349" s="7" t="str">
        <f t="shared" si="57"/>
        <v>QC</v>
      </c>
      <c r="J349" s="7" t="s">
        <v>174</v>
      </c>
      <c r="K349" s="7" t="str">
        <f>""</f>
        <v/>
      </c>
      <c r="L349" s="7" t="str">
        <f>""</f>
        <v/>
      </c>
      <c r="M349" s="7" t="s">
        <v>227</v>
      </c>
    </row>
    <row r="350" spans="1:13" x14ac:dyDescent="0.25">
      <c r="A350" s="7" t="str">
        <f>"Jordan"</f>
        <v>Jordan</v>
      </c>
      <c r="B350" s="7" t="str">
        <f>"Marcouiller"</f>
        <v>Marcouiller</v>
      </c>
      <c r="C350" s="7" t="str">
        <f t="shared" si="58"/>
        <v>M</v>
      </c>
      <c r="D350" s="7" t="str">
        <f t="shared" si="56"/>
        <v>U16</v>
      </c>
      <c r="E350" s="2">
        <v>2005</v>
      </c>
      <c r="F350" s="7" t="str">
        <f>"Club de Judo Shawinigan"</f>
        <v>Club de Judo Shawinigan</v>
      </c>
      <c r="G350" s="7" t="str">
        <f t="shared" si="59"/>
        <v>+73kg</v>
      </c>
      <c r="H350" s="7" t="str">
        <f>"0189450"</f>
        <v>0189450</v>
      </c>
      <c r="I350" s="7" t="str">
        <f t="shared" si="57"/>
        <v>QC</v>
      </c>
      <c r="J350" s="7" t="s">
        <v>174</v>
      </c>
      <c r="K350" s="7" t="str">
        <f>""</f>
        <v/>
      </c>
      <c r="L350" s="7" t="str">
        <f>""</f>
        <v/>
      </c>
      <c r="M350" s="7" t="s">
        <v>227</v>
      </c>
    </row>
    <row r="351" spans="1:13" x14ac:dyDescent="0.25">
      <c r="A351" s="7" t="str">
        <f>"John Jr"</f>
        <v>John Jr</v>
      </c>
      <c r="B351" s="7" t="str">
        <f>"Messé A Bessong"</f>
        <v>Messé A Bessong</v>
      </c>
      <c r="C351" s="7" t="str">
        <f t="shared" si="58"/>
        <v>M</v>
      </c>
      <c r="D351" s="7" t="str">
        <f t="shared" si="56"/>
        <v>U16</v>
      </c>
      <c r="E351" s="2">
        <v>2005</v>
      </c>
      <c r="F351" s="7" t="str">
        <f>"Club Judo Ben Inc."</f>
        <v>Club Judo Ben Inc.</v>
      </c>
      <c r="G351" s="7" t="str">
        <f t="shared" si="59"/>
        <v>+73kg</v>
      </c>
      <c r="H351" s="7" t="str">
        <f>"0168706"</f>
        <v>0168706</v>
      </c>
      <c r="I351" s="7" t="str">
        <f t="shared" si="57"/>
        <v>QC</v>
      </c>
      <c r="J351" s="7" t="s">
        <v>163</v>
      </c>
      <c r="K351" s="7" t="str">
        <f>""</f>
        <v/>
      </c>
      <c r="L351" s="7" t="str">
        <f>""</f>
        <v/>
      </c>
      <c r="M351" s="7" t="s">
        <v>227</v>
      </c>
    </row>
    <row r="352" spans="1:13" x14ac:dyDescent="0.25">
      <c r="A352" s="7" t="s">
        <v>140</v>
      </c>
      <c r="B352" s="7" t="s">
        <v>141</v>
      </c>
      <c r="C352" s="7" t="s">
        <v>13</v>
      </c>
      <c r="D352" s="7" t="str">
        <f t="shared" si="56"/>
        <v>U16</v>
      </c>
      <c r="E352" s="2">
        <v>2005</v>
      </c>
      <c r="F352" s="7" t="s">
        <v>150</v>
      </c>
      <c r="G352" s="7" t="str">
        <f t="shared" si="59"/>
        <v>+73kg</v>
      </c>
      <c r="H352" s="7">
        <v>211871</v>
      </c>
      <c r="I352" s="7" t="s">
        <v>17</v>
      </c>
      <c r="J352" s="7" t="s">
        <v>163</v>
      </c>
      <c r="K352" s="7" t="s">
        <v>10</v>
      </c>
      <c r="L352" s="7" t="s">
        <v>10</v>
      </c>
      <c r="M352" s="7" t="s">
        <v>227</v>
      </c>
    </row>
    <row r="353" spans="1:14" x14ac:dyDescent="0.25">
      <c r="A353" s="7" t="str">
        <f>"Maxime"</f>
        <v>Maxime</v>
      </c>
      <c r="B353" s="7" t="str">
        <f>"Morin"</f>
        <v>Morin</v>
      </c>
      <c r="C353" s="7" t="str">
        <f t="shared" ref="C353:C361" si="60">"M"</f>
        <v>M</v>
      </c>
      <c r="D353" s="7" t="str">
        <f t="shared" si="56"/>
        <v>U16</v>
      </c>
      <c r="E353" s="2">
        <v>2004</v>
      </c>
      <c r="F353" s="7" t="str">
        <f>"Club de judo Magog"</f>
        <v>Club de judo Magog</v>
      </c>
      <c r="G353" s="7" t="str">
        <f t="shared" si="59"/>
        <v>+73kg</v>
      </c>
      <c r="H353" s="7" t="str">
        <f>"0225124"</f>
        <v>0225124</v>
      </c>
      <c r="I353" s="7" t="str">
        <f t="shared" ref="I353:I360" si="61">"QC"</f>
        <v>QC</v>
      </c>
      <c r="J353" s="7" t="s">
        <v>174</v>
      </c>
      <c r="K353" s="7" t="str">
        <f>""</f>
        <v/>
      </c>
      <c r="L353" s="7" t="str">
        <f>""</f>
        <v/>
      </c>
      <c r="M353" s="7" t="s">
        <v>227</v>
      </c>
    </row>
    <row r="354" spans="1:14" x14ac:dyDescent="0.25">
      <c r="A354" s="7" t="str">
        <f>"Pascal"</f>
        <v>Pascal</v>
      </c>
      <c r="B354" s="7" t="str">
        <f>"Neron"</f>
        <v>Neron</v>
      </c>
      <c r="C354" s="7" t="str">
        <f t="shared" si="60"/>
        <v>M</v>
      </c>
      <c r="D354" s="7" t="str">
        <f t="shared" si="56"/>
        <v>U16</v>
      </c>
      <c r="E354" s="2">
        <v>2004</v>
      </c>
      <c r="F354" s="7" t="str">
        <f>"Club de judo St-Jean Bosco de Hull"</f>
        <v>Club de judo St-Jean Bosco de Hull</v>
      </c>
      <c r="G354" s="7" t="str">
        <f t="shared" si="59"/>
        <v>+73kg</v>
      </c>
      <c r="H354" s="7" t="str">
        <f>"0214323"</f>
        <v>0214323</v>
      </c>
      <c r="I354" s="7" t="str">
        <f t="shared" si="61"/>
        <v>QC</v>
      </c>
      <c r="J354" s="7" t="s">
        <v>167</v>
      </c>
      <c r="K354" s="7" t="str">
        <f>""</f>
        <v/>
      </c>
      <c r="L354" s="7" t="str">
        <f>""</f>
        <v/>
      </c>
      <c r="M354" s="7" t="s">
        <v>227</v>
      </c>
    </row>
    <row r="355" spans="1:14" x14ac:dyDescent="0.25">
      <c r="A355" s="7" t="str">
        <f>"Adam"</f>
        <v>Adam</v>
      </c>
      <c r="B355" s="7" t="str">
        <f>"Siammour"</f>
        <v>Siammour</v>
      </c>
      <c r="C355" s="7" t="str">
        <f t="shared" si="60"/>
        <v>M</v>
      </c>
      <c r="D355" s="7" t="str">
        <f t="shared" si="56"/>
        <v>U16</v>
      </c>
      <c r="E355" s="2">
        <v>2004</v>
      </c>
      <c r="F355" s="7" t="str">
        <f>"Club de judo Torii"</f>
        <v>Club de judo Torii</v>
      </c>
      <c r="G355" s="7" t="str">
        <f t="shared" si="59"/>
        <v>+73kg</v>
      </c>
      <c r="H355" s="7" t="str">
        <f>"0163093"</f>
        <v>0163093</v>
      </c>
      <c r="I355" s="7" t="str">
        <f t="shared" si="61"/>
        <v>QC</v>
      </c>
      <c r="J355" s="7" t="s">
        <v>163</v>
      </c>
      <c r="K355" s="7" t="str">
        <f>""</f>
        <v/>
      </c>
      <c r="L355" s="7" t="str">
        <f>""</f>
        <v/>
      </c>
      <c r="M355" s="7" t="s">
        <v>227</v>
      </c>
    </row>
    <row r="356" spans="1:14" x14ac:dyDescent="0.25">
      <c r="A356" s="7" t="str">
        <f>"Johnson"</f>
        <v>Johnson</v>
      </c>
      <c r="B356" s="7" t="str">
        <f>"Vincent"</f>
        <v>Vincent</v>
      </c>
      <c r="C356" s="7" t="str">
        <f t="shared" si="60"/>
        <v>M</v>
      </c>
      <c r="D356" s="7" t="str">
        <f t="shared" si="56"/>
        <v>U16</v>
      </c>
      <c r="E356" s="2">
        <v>2004</v>
      </c>
      <c r="F356" s="7" t="str">
        <f>"Kiseki Judo"</f>
        <v>Kiseki Judo</v>
      </c>
      <c r="G356" s="7" t="str">
        <f t="shared" si="59"/>
        <v>+73kg</v>
      </c>
      <c r="H356" s="7" t="str">
        <f>"0179399"</f>
        <v>0179399</v>
      </c>
      <c r="I356" s="7" t="str">
        <f t="shared" si="61"/>
        <v>QC</v>
      </c>
      <c r="J356" s="7" t="s">
        <v>163</v>
      </c>
      <c r="K356" s="7" t="str">
        <f>""</f>
        <v/>
      </c>
      <c r="L356" s="7" t="str">
        <f>""</f>
        <v/>
      </c>
      <c r="M356" s="7" t="s">
        <v>227</v>
      </c>
    </row>
    <row r="357" spans="1:14" x14ac:dyDescent="0.25">
      <c r="A357" s="5" t="str">
        <f>"Madjid"</f>
        <v>Madjid</v>
      </c>
      <c r="B357" s="5" t="str">
        <f>"Bouterfa"</f>
        <v>Bouterfa</v>
      </c>
      <c r="C357" s="5" t="str">
        <f t="shared" si="60"/>
        <v>M</v>
      </c>
      <c r="D357" s="5" t="str">
        <f t="shared" si="56"/>
        <v>U16</v>
      </c>
      <c r="E357" s="2">
        <v>2005</v>
      </c>
      <c r="F357" s="5" t="str">
        <f>"Club judo St-Leonard"</f>
        <v>Club judo St-Leonard</v>
      </c>
      <c r="G357" s="5" t="str">
        <f>"-38kg"</f>
        <v>-38kg</v>
      </c>
      <c r="H357" s="5" t="str">
        <f>"0202216"</f>
        <v>0202216</v>
      </c>
      <c r="I357" s="5" t="str">
        <f t="shared" si="61"/>
        <v>QC</v>
      </c>
      <c r="J357" s="5" t="s">
        <v>165</v>
      </c>
      <c r="K357" s="5" t="str">
        <f>""</f>
        <v/>
      </c>
      <c r="L357" s="5" t="str">
        <f>""</f>
        <v/>
      </c>
      <c r="M357" s="5" t="s">
        <v>236</v>
      </c>
      <c r="N357" s="5"/>
    </row>
    <row r="358" spans="1:14" x14ac:dyDescent="0.25">
      <c r="A358" s="5" t="str">
        <f>"Davon"</f>
        <v>Davon</v>
      </c>
      <c r="B358" s="5" t="str">
        <f>"Charbonneau"</f>
        <v>Charbonneau</v>
      </c>
      <c r="C358" s="5" t="str">
        <f t="shared" si="60"/>
        <v>M</v>
      </c>
      <c r="D358" s="5" t="str">
        <f t="shared" si="56"/>
        <v>U16</v>
      </c>
      <c r="E358" s="2">
        <v>2005</v>
      </c>
      <c r="F358" s="5" t="str">
        <f>"Dojo Zenshin"</f>
        <v>Dojo Zenshin</v>
      </c>
      <c r="G358" s="5" t="str">
        <f>"-38kg"</f>
        <v>-38kg</v>
      </c>
      <c r="H358" s="5" t="str">
        <f>"0233361"</f>
        <v>0233361</v>
      </c>
      <c r="I358" s="5" t="str">
        <f t="shared" si="61"/>
        <v>QC</v>
      </c>
      <c r="J358" s="5" t="s">
        <v>171</v>
      </c>
      <c r="K358" s="5" t="str">
        <f>""</f>
        <v/>
      </c>
      <c r="L358" s="5" t="str">
        <f>""</f>
        <v/>
      </c>
      <c r="M358" s="5" t="s">
        <v>236</v>
      </c>
      <c r="N358" s="5"/>
    </row>
    <row r="359" spans="1:14" x14ac:dyDescent="0.25">
      <c r="A359" s="5" t="str">
        <f>"Thomas"</f>
        <v>Thomas</v>
      </c>
      <c r="B359" s="5" t="str">
        <f>"Lastrade"</f>
        <v>Lastrade</v>
      </c>
      <c r="C359" s="5" t="str">
        <f t="shared" si="60"/>
        <v>M</v>
      </c>
      <c r="D359" s="5" t="str">
        <f t="shared" si="56"/>
        <v>U16</v>
      </c>
      <c r="E359" s="2">
        <v>2005</v>
      </c>
      <c r="F359" s="5" t="str">
        <f>"Club de judo Hakudokan Inc."</f>
        <v>Club de judo Hakudokan Inc.</v>
      </c>
      <c r="G359" s="5" t="str">
        <f>"-38kg"</f>
        <v>-38kg</v>
      </c>
      <c r="H359" s="5" t="str">
        <f>"0234653"</f>
        <v>0234653</v>
      </c>
      <c r="I359" s="5" t="str">
        <f t="shared" si="61"/>
        <v>QC</v>
      </c>
      <c r="J359" s="5" t="s">
        <v>172</v>
      </c>
      <c r="K359" s="5" t="str">
        <f>""</f>
        <v/>
      </c>
      <c r="L359" s="5" t="str">
        <f>""</f>
        <v/>
      </c>
      <c r="M359" s="5" t="s">
        <v>236</v>
      </c>
      <c r="N359" s="5"/>
    </row>
    <row r="360" spans="1:14" x14ac:dyDescent="0.25">
      <c r="A360" s="5" t="str">
        <f>"Amer"</f>
        <v>Amer</v>
      </c>
      <c r="B360" s="5" t="str">
        <f>"Zerrad"</f>
        <v>Zerrad</v>
      </c>
      <c r="C360" s="5" t="str">
        <f t="shared" si="60"/>
        <v>M</v>
      </c>
      <c r="D360" s="5" t="str">
        <f t="shared" si="56"/>
        <v>U16</v>
      </c>
      <c r="E360" s="2">
        <v>2005</v>
      </c>
      <c r="F360" s="5" t="str">
        <f>"Judo Univestrie/donini"</f>
        <v>Judo Univestrie/donini</v>
      </c>
      <c r="G360" s="5" t="str">
        <f>"-38kg"</f>
        <v>-38kg</v>
      </c>
      <c r="H360" s="5" t="str">
        <f>"0235319"</f>
        <v>0235319</v>
      </c>
      <c r="I360" s="5" t="str">
        <f t="shared" si="61"/>
        <v>QC</v>
      </c>
      <c r="J360" s="5" t="s">
        <v>172</v>
      </c>
      <c r="K360" s="5" t="str">
        <f>""</f>
        <v/>
      </c>
      <c r="L360" s="5" t="str">
        <f>""</f>
        <v/>
      </c>
      <c r="M360" s="5" t="s">
        <v>236</v>
      </c>
      <c r="N360" s="5"/>
    </row>
    <row r="361" spans="1:14" x14ac:dyDescent="0.25">
      <c r="A361" s="6" t="str">
        <f>"Rza"</f>
        <v>Rza</v>
      </c>
      <c r="B361" s="6" t="str">
        <f>"Abdullayev"</f>
        <v>Abdullayev</v>
      </c>
      <c r="C361" s="6" t="str">
        <f t="shared" si="60"/>
        <v>M</v>
      </c>
      <c r="D361" s="6" t="str">
        <f t="shared" si="56"/>
        <v>U16</v>
      </c>
      <c r="E361" s="2">
        <v>2005</v>
      </c>
      <c r="F361" s="6" t="str">
        <f>"Olympic Judo Centre"</f>
        <v>Olympic Judo Centre</v>
      </c>
      <c r="G361" s="6" t="str">
        <f>"-38kg"</f>
        <v>-38kg</v>
      </c>
      <c r="H361" s="6" t="str">
        <f>"0217630"</f>
        <v>0217630</v>
      </c>
      <c r="I361" s="6" t="str">
        <f>"ON"</f>
        <v>ON</v>
      </c>
      <c r="J361" s="6" t="s">
        <v>175</v>
      </c>
      <c r="K361" s="6" t="str">
        <f>""</f>
        <v/>
      </c>
      <c r="L361" s="6" t="str">
        <f>""</f>
        <v/>
      </c>
      <c r="M361" s="6" t="s">
        <v>228</v>
      </c>
    </row>
    <row r="362" spans="1:14" x14ac:dyDescent="0.25">
      <c r="A362" s="6" t="s">
        <v>138</v>
      </c>
      <c r="B362" s="6" t="s">
        <v>139</v>
      </c>
      <c r="C362" s="6" t="s">
        <v>13</v>
      </c>
      <c r="D362" s="6" t="str">
        <f t="shared" si="56"/>
        <v>U16</v>
      </c>
      <c r="E362" s="2">
        <v>2005</v>
      </c>
      <c r="F362" s="6" t="s">
        <v>150</v>
      </c>
      <c r="G362" s="6" t="str">
        <f>"-36kg"</f>
        <v>-36kg</v>
      </c>
      <c r="H362" s="6">
        <v>211865</v>
      </c>
      <c r="I362" s="6" t="s">
        <v>17</v>
      </c>
      <c r="J362" s="6" t="s">
        <v>174</v>
      </c>
      <c r="K362" s="6" t="s">
        <v>10</v>
      </c>
      <c r="L362" s="6" t="s">
        <v>10</v>
      </c>
      <c r="M362" s="6" t="s">
        <v>228</v>
      </c>
    </row>
    <row r="363" spans="1:14" x14ac:dyDescent="0.25">
      <c r="A363" s="6" t="str">
        <f>"Vincent"</f>
        <v>Vincent</v>
      </c>
      <c r="B363" s="6" t="str">
        <f>"Baril"</f>
        <v>Baril</v>
      </c>
      <c r="C363" s="6" t="str">
        <f t="shared" ref="C363:C372" si="62">"M"</f>
        <v>M</v>
      </c>
      <c r="D363" s="6" t="str">
        <f t="shared" ref="D363:D394" si="63">"U16"</f>
        <v>U16</v>
      </c>
      <c r="E363" s="2">
        <v>2005</v>
      </c>
      <c r="F363" s="6" t="str">
        <f>"Club de judo Ghishintaido inc."</f>
        <v>Club de judo Ghishintaido inc.</v>
      </c>
      <c r="G363" s="6" t="str">
        <f t="shared" ref="G363:G371" si="64">"-38kg"</f>
        <v>-38kg</v>
      </c>
      <c r="H363" s="6" t="str">
        <f>"0224285"</f>
        <v>0224285</v>
      </c>
      <c r="I363" s="6" t="str">
        <f t="shared" ref="I363:I372" si="65">"QC"</f>
        <v>QC</v>
      </c>
      <c r="J363" s="6" t="s">
        <v>174</v>
      </c>
      <c r="K363" s="6" t="str">
        <f>""</f>
        <v/>
      </c>
      <c r="L363" s="6" t="str">
        <f>""</f>
        <v/>
      </c>
      <c r="M363" s="6" t="s">
        <v>228</v>
      </c>
    </row>
    <row r="364" spans="1:14" x14ac:dyDescent="0.25">
      <c r="A364" s="6" t="str">
        <f>"Mathéo"</f>
        <v>Mathéo</v>
      </c>
      <c r="B364" s="6" t="str">
        <f>"Benoit"</f>
        <v>Benoit</v>
      </c>
      <c r="C364" s="6" t="str">
        <f t="shared" si="62"/>
        <v>M</v>
      </c>
      <c r="D364" s="6" t="str">
        <f t="shared" si="63"/>
        <v>U16</v>
      </c>
      <c r="E364" s="2">
        <v>2005</v>
      </c>
      <c r="F364" s="6" t="str">
        <f>"Club de judo Torakai"</f>
        <v>Club de judo Torakai</v>
      </c>
      <c r="G364" s="6" t="str">
        <f t="shared" si="64"/>
        <v>-38kg</v>
      </c>
      <c r="H364" s="6" t="str">
        <f>"0195983"</f>
        <v>0195983</v>
      </c>
      <c r="I364" s="6" t="str">
        <f t="shared" si="65"/>
        <v>QC</v>
      </c>
      <c r="J364" s="6" t="s">
        <v>164</v>
      </c>
      <c r="K364" s="6" t="str">
        <f>""</f>
        <v/>
      </c>
      <c r="L364" s="6" t="str">
        <f>""</f>
        <v/>
      </c>
      <c r="M364" s="6" t="s">
        <v>228</v>
      </c>
    </row>
    <row r="365" spans="1:14" x14ac:dyDescent="0.25">
      <c r="A365" s="6" t="str">
        <f>"Antoine"</f>
        <v>Antoine</v>
      </c>
      <c r="B365" s="6" t="str">
        <f>"Desgranges"</f>
        <v>Desgranges</v>
      </c>
      <c r="C365" s="6" t="str">
        <f t="shared" si="62"/>
        <v>M</v>
      </c>
      <c r="D365" s="6" t="str">
        <f t="shared" si="63"/>
        <v>U16</v>
      </c>
      <c r="E365" s="2">
        <v>2005</v>
      </c>
      <c r="F365" s="6" t="str">
        <f>"Club de judo Vallée du Richelieu"</f>
        <v>Club de judo Vallée du Richelieu</v>
      </c>
      <c r="G365" s="6" t="str">
        <f t="shared" si="64"/>
        <v>-38kg</v>
      </c>
      <c r="H365" s="6" t="str">
        <f>"0203056"</f>
        <v>0203056</v>
      </c>
      <c r="I365" s="6" t="str">
        <f t="shared" si="65"/>
        <v>QC</v>
      </c>
      <c r="J365" s="6" t="s">
        <v>164</v>
      </c>
      <c r="K365" s="6" t="str">
        <f>""</f>
        <v/>
      </c>
      <c r="L365" s="6" t="str">
        <f>""</f>
        <v/>
      </c>
      <c r="M365" s="6" t="s">
        <v>228</v>
      </c>
    </row>
    <row r="366" spans="1:14" x14ac:dyDescent="0.25">
      <c r="A366" s="6" t="str">
        <f>"William"</f>
        <v>William</v>
      </c>
      <c r="B366" s="6" t="str">
        <f>"Dominique"</f>
        <v>Dominique</v>
      </c>
      <c r="C366" s="6" t="str">
        <f t="shared" si="62"/>
        <v>M</v>
      </c>
      <c r="D366" s="6" t="str">
        <f t="shared" si="63"/>
        <v>U16</v>
      </c>
      <c r="E366" s="2">
        <v>2005</v>
      </c>
      <c r="F366" s="6" t="str">
        <f>"Dojo Zenshin"</f>
        <v>Dojo Zenshin</v>
      </c>
      <c r="G366" s="6" t="str">
        <f t="shared" si="64"/>
        <v>-38kg</v>
      </c>
      <c r="H366" s="6" t="str">
        <f>"0206360"</f>
        <v>0206360</v>
      </c>
      <c r="I366" s="6" t="str">
        <f t="shared" si="65"/>
        <v>QC</v>
      </c>
      <c r="J366" s="6" t="s">
        <v>174</v>
      </c>
      <c r="K366" s="6" t="str">
        <f>""</f>
        <v/>
      </c>
      <c r="L366" s="6" t="str">
        <f>""</f>
        <v/>
      </c>
      <c r="M366" s="6" t="s">
        <v>228</v>
      </c>
    </row>
    <row r="367" spans="1:14" x14ac:dyDescent="0.25">
      <c r="A367" s="6" t="str">
        <f>"Victor"</f>
        <v>Victor</v>
      </c>
      <c r="B367" s="6" t="str">
        <f>"Gamet"</f>
        <v>Gamet</v>
      </c>
      <c r="C367" s="6" t="str">
        <f t="shared" si="62"/>
        <v>M</v>
      </c>
      <c r="D367" s="6" t="str">
        <f t="shared" si="63"/>
        <v>U16</v>
      </c>
      <c r="E367" s="2">
        <v>2005</v>
      </c>
      <c r="F367" s="6" t="str">
        <f>"Club de judo Saint-Hyacinthe Inc."</f>
        <v>Club de judo Saint-Hyacinthe Inc.</v>
      </c>
      <c r="G367" s="6" t="str">
        <f t="shared" si="64"/>
        <v>-38kg</v>
      </c>
      <c r="H367" s="6" t="str">
        <f>"0208369"</f>
        <v>0208369</v>
      </c>
      <c r="I367" s="6" t="str">
        <f t="shared" si="65"/>
        <v>QC</v>
      </c>
      <c r="J367" s="6" t="s">
        <v>174</v>
      </c>
      <c r="K367" s="6" t="str">
        <f>""</f>
        <v/>
      </c>
      <c r="L367" s="6" t="str">
        <f>""</f>
        <v/>
      </c>
      <c r="M367" s="6" t="s">
        <v>228</v>
      </c>
    </row>
    <row r="368" spans="1:14" x14ac:dyDescent="0.25">
      <c r="A368" s="6" t="str">
        <f>"Olivier"</f>
        <v>Olivier</v>
      </c>
      <c r="B368" s="6" t="str">
        <f>"Gaudreault"</f>
        <v>Gaudreault</v>
      </c>
      <c r="C368" s="6" t="str">
        <f t="shared" si="62"/>
        <v>M</v>
      </c>
      <c r="D368" s="6" t="str">
        <f t="shared" si="63"/>
        <v>U16</v>
      </c>
      <c r="E368" s="2">
        <v>2005</v>
      </c>
      <c r="F368" s="6" t="str">
        <f>"Club de judo Torii"</f>
        <v>Club de judo Torii</v>
      </c>
      <c r="G368" s="6" t="str">
        <f t="shared" si="64"/>
        <v>-38kg</v>
      </c>
      <c r="H368" s="6" t="str">
        <f>"0205909"</f>
        <v>0205909</v>
      </c>
      <c r="I368" s="6" t="str">
        <f t="shared" si="65"/>
        <v>QC</v>
      </c>
      <c r="J368" s="6" t="s">
        <v>175</v>
      </c>
      <c r="K368" s="6" t="str">
        <f>""</f>
        <v/>
      </c>
      <c r="L368" s="6" t="str">
        <f>""</f>
        <v/>
      </c>
      <c r="M368" s="6" t="s">
        <v>228</v>
      </c>
    </row>
    <row r="369" spans="1:14" x14ac:dyDescent="0.25">
      <c r="A369" s="6" t="str">
        <f>"Hugo"</f>
        <v>Hugo</v>
      </c>
      <c r="B369" s="6" t="str">
        <f>"Levacher"</f>
        <v>Levacher</v>
      </c>
      <c r="C369" s="6" t="str">
        <f t="shared" si="62"/>
        <v>M</v>
      </c>
      <c r="D369" s="6" t="str">
        <f t="shared" si="63"/>
        <v>U16</v>
      </c>
      <c r="E369" s="2">
        <v>2005</v>
      </c>
      <c r="F369" s="6" t="str">
        <f>"Club de judo Torakai"</f>
        <v>Club de judo Torakai</v>
      </c>
      <c r="G369" s="6" t="str">
        <f t="shared" si="64"/>
        <v>-38kg</v>
      </c>
      <c r="H369" s="6" t="str">
        <f>"0199445"</f>
        <v>0199445</v>
      </c>
      <c r="I369" s="6" t="str">
        <f t="shared" si="65"/>
        <v>QC</v>
      </c>
      <c r="J369" s="6" t="s">
        <v>163</v>
      </c>
      <c r="K369" s="6" t="str">
        <f>""</f>
        <v/>
      </c>
      <c r="L369" s="6" t="str">
        <f>""</f>
        <v/>
      </c>
      <c r="M369" s="6" t="s">
        <v>228</v>
      </c>
    </row>
    <row r="370" spans="1:14" x14ac:dyDescent="0.25">
      <c r="A370" s="6" t="str">
        <f>"Ryôsuke"</f>
        <v>Ryôsuke</v>
      </c>
      <c r="B370" s="6" t="str">
        <f>"Nagami-Davidson"</f>
        <v>Nagami-Davidson</v>
      </c>
      <c r="C370" s="6" t="str">
        <f t="shared" si="62"/>
        <v>M</v>
      </c>
      <c r="D370" s="6" t="str">
        <f t="shared" si="63"/>
        <v>U16</v>
      </c>
      <c r="E370" s="2">
        <v>2005</v>
      </c>
      <c r="F370" s="6" t="str">
        <f>"Club de judo Ghishintaido inc."</f>
        <v>Club de judo Ghishintaido inc.</v>
      </c>
      <c r="G370" s="6" t="str">
        <f t="shared" si="64"/>
        <v>-38kg</v>
      </c>
      <c r="H370" s="6" t="str">
        <f>"0155893"</f>
        <v>0155893</v>
      </c>
      <c r="I370" s="6" t="str">
        <f t="shared" si="65"/>
        <v>QC</v>
      </c>
      <c r="J370" s="6" t="s">
        <v>163</v>
      </c>
      <c r="K370" s="6" t="str">
        <f>""</f>
        <v/>
      </c>
      <c r="L370" s="6" t="str">
        <f>""</f>
        <v/>
      </c>
      <c r="M370" s="6" t="s">
        <v>228</v>
      </c>
    </row>
    <row r="371" spans="1:14" x14ac:dyDescent="0.25">
      <c r="A371" s="6" t="str">
        <f>"Vincent"</f>
        <v>Vincent</v>
      </c>
      <c r="B371" s="6" t="str">
        <f>"Nepton"</f>
        <v>Nepton</v>
      </c>
      <c r="C371" s="6" t="str">
        <f t="shared" si="62"/>
        <v>M</v>
      </c>
      <c r="D371" s="6" t="str">
        <f t="shared" si="63"/>
        <v>U16</v>
      </c>
      <c r="E371" s="2">
        <v>2006</v>
      </c>
      <c r="F371" s="6" t="str">
        <f>"Club judokas Jonquière inc."</f>
        <v>Club judokas Jonquière inc.</v>
      </c>
      <c r="G371" s="6" t="str">
        <f t="shared" si="64"/>
        <v>-38kg</v>
      </c>
      <c r="H371" s="6" t="str">
        <f>"0184297"</f>
        <v>0184297</v>
      </c>
      <c r="I371" s="6" t="str">
        <f t="shared" si="65"/>
        <v>QC</v>
      </c>
      <c r="J371" s="6" t="s">
        <v>164</v>
      </c>
      <c r="K371" s="6" t="str">
        <f>""</f>
        <v/>
      </c>
      <c r="L371" s="4" t="s">
        <v>263</v>
      </c>
      <c r="M371" s="6" t="s">
        <v>228</v>
      </c>
    </row>
    <row r="372" spans="1:14" x14ac:dyDescent="0.25">
      <c r="A372" s="1" t="str">
        <f>"Badr"</f>
        <v>Badr</v>
      </c>
      <c r="B372" s="1" t="str">
        <f>"Arras"</f>
        <v>Arras</v>
      </c>
      <c r="C372" s="1" t="str">
        <f t="shared" si="62"/>
        <v>M</v>
      </c>
      <c r="D372" s="1" t="str">
        <f t="shared" si="63"/>
        <v>U16</v>
      </c>
      <c r="E372" s="2">
        <v>2005</v>
      </c>
      <c r="F372" s="1" t="str">
        <f>"Club de judo Métropolitain inc."</f>
        <v>Club de judo Métropolitain inc.</v>
      </c>
      <c r="G372" s="1" t="str">
        <f t="shared" ref="G372:G390" si="66">"-42kg"</f>
        <v>-42kg</v>
      </c>
      <c r="H372" s="1" t="str">
        <f>"0238298"</f>
        <v>0238298</v>
      </c>
      <c r="I372" s="1" t="str">
        <f t="shared" si="65"/>
        <v>QC</v>
      </c>
      <c r="J372" s="1" t="s">
        <v>171</v>
      </c>
      <c r="K372" s="1" t="str">
        <f>""</f>
        <v/>
      </c>
      <c r="L372" s="1" t="str">
        <f>""</f>
        <v/>
      </c>
      <c r="M372" s="1" t="s">
        <v>237</v>
      </c>
      <c r="N372" s="1"/>
    </row>
    <row r="373" spans="1:14" x14ac:dyDescent="0.25">
      <c r="A373" s="1" t="s">
        <v>134</v>
      </c>
      <c r="B373" s="1" t="s">
        <v>142</v>
      </c>
      <c r="C373" s="1" t="s">
        <v>13</v>
      </c>
      <c r="D373" s="1" t="str">
        <f t="shared" si="63"/>
        <v>U16</v>
      </c>
      <c r="E373" s="2">
        <v>2004</v>
      </c>
      <c r="F373" s="1" t="s">
        <v>150</v>
      </c>
      <c r="G373" s="1" t="str">
        <f t="shared" si="66"/>
        <v>-42kg</v>
      </c>
      <c r="H373" s="1">
        <v>407363</v>
      </c>
      <c r="I373" s="1" t="s">
        <v>17</v>
      </c>
      <c r="J373" s="1" t="s">
        <v>165</v>
      </c>
      <c r="K373" s="1" t="s">
        <v>10</v>
      </c>
      <c r="L373" s="1" t="s">
        <v>10</v>
      </c>
      <c r="M373" s="1" t="s">
        <v>237</v>
      </c>
      <c r="N373" s="1"/>
    </row>
    <row r="374" spans="1:14" x14ac:dyDescent="0.25">
      <c r="A374" s="1" t="str">
        <f>"Guillaume"</f>
        <v>Guillaume</v>
      </c>
      <c r="B374" s="1" t="str">
        <f>"Fecteau"</f>
        <v>Fecteau</v>
      </c>
      <c r="C374" s="1" t="str">
        <f t="shared" ref="C374:C404" si="67">"M"</f>
        <v>M</v>
      </c>
      <c r="D374" s="1" t="str">
        <f t="shared" si="63"/>
        <v>U16</v>
      </c>
      <c r="E374" s="2">
        <v>2005</v>
      </c>
      <c r="F374" s="1" t="str">
        <f>"Club de judo To Haku kan inc."</f>
        <v>Club de judo To Haku kan inc.</v>
      </c>
      <c r="G374" s="1" t="str">
        <f t="shared" si="66"/>
        <v>-42kg</v>
      </c>
      <c r="H374" s="1" t="str">
        <f>"0241004"</f>
        <v>0241004</v>
      </c>
      <c r="I374" s="1" t="str">
        <f t="shared" ref="I374:I384" si="68">"QC"</f>
        <v>QC</v>
      </c>
      <c r="J374" s="1" t="s">
        <v>165</v>
      </c>
      <c r="K374" s="1" t="str">
        <f>""</f>
        <v/>
      </c>
      <c r="L374" s="1" t="str">
        <f>""</f>
        <v/>
      </c>
      <c r="M374" s="1" t="s">
        <v>237</v>
      </c>
      <c r="N374" s="1"/>
    </row>
    <row r="375" spans="1:14" x14ac:dyDescent="0.25">
      <c r="A375" s="1" t="str">
        <f>"Lens"</f>
        <v>Lens</v>
      </c>
      <c r="B375" s="1" t="str">
        <f>"Gaudreault"</f>
        <v>Gaudreault</v>
      </c>
      <c r="C375" s="1" t="str">
        <f t="shared" si="67"/>
        <v>M</v>
      </c>
      <c r="D375" s="1" t="str">
        <f t="shared" si="63"/>
        <v>U16</v>
      </c>
      <c r="E375" s="2">
        <v>2005</v>
      </c>
      <c r="F375" s="1" t="str">
        <f>"Club de judo Albatros Inc."</f>
        <v>Club de judo Albatros Inc.</v>
      </c>
      <c r="G375" s="1" t="str">
        <f t="shared" si="66"/>
        <v>-42kg</v>
      </c>
      <c r="H375" s="1" t="str">
        <f>"0206764"</f>
        <v>0206764</v>
      </c>
      <c r="I375" s="1" t="str">
        <f t="shared" si="68"/>
        <v>QC</v>
      </c>
      <c r="J375" s="1" t="s">
        <v>172</v>
      </c>
      <c r="K375" s="1" t="str">
        <f>""</f>
        <v/>
      </c>
      <c r="L375" s="1" t="str">
        <f>""</f>
        <v/>
      </c>
      <c r="M375" s="1" t="s">
        <v>237</v>
      </c>
      <c r="N375" s="1"/>
    </row>
    <row r="376" spans="1:14" x14ac:dyDescent="0.25">
      <c r="A376" s="1" t="str">
        <f>"Albert"</f>
        <v>Albert</v>
      </c>
      <c r="B376" s="1" t="str">
        <f>"Lefebvre"</f>
        <v>Lefebvre</v>
      </c>
      <c r="C376" s="1" t="str">
        <f t="shared" si="67"/>
        <v>M</v>
      </c>
      <c r="D376" s="1" t="str">
        <f t="shared" si="63"/>
        <v>U16</v>
      </c>
      <c r="E376" s="2">
        <v>2005</v>
      </c>
      <c r="F376" s="1" t="str">
        <f>"Dojo Zenshin"</f>
        <v>Dojo Zenshin</v>
      </c>
      <c r="G376" s="1" t="str">
        <f t="shared" si="66"/>
        <v>-42kg</v>
      </c>
      <c r="H376" s="1" t="str">
        <f>"0228024"</f>
        <v>0228024</v>
      </c>
      <c r="I376" s="1" t="str">
        <f t="shared" si="68"/>
        <v>QC</v>
      </c>
      <c r="J376" s="1" t="s">
        <v>171</v>
      </c>
      <c r="K376" s="1" t="str">
        <f>""</f>
        <v/>
      </c>
      <c r="L376" s="1" t="str">
        <f>""</f>
        <v/>
      </c>
      <c r="M376" s="1" t="s">
        <v>237</v>
      </c>
      <c r="N376" s="1"/>
    </row>
    <row r="377" spans="1:14" x14ac:dyDescent="0.25">
      <c r="A377" s="7" t="str">
        <f>"Mohammed Rayane"</f>
        <v>Mohammed Rayane</v>
      </c>
      <c r="B377" s="7" t="str">
        <f>"Amzil"</f>
        <v>Amzil</v>
      </c>
      <c r="C377" s="7" t="str">
        <f t="shared" si="67"/>
        <v>M</v>
      </c>
      <c r="D377" s="7" t="str">
        <f t="shared" si="63"/>
        <v>U16</v>
      </c>
      <c r="E377" s="2">
        <v>2005</v>
      </c>
      <c r="F377" s="7" t="str">
        <f>"Club de judo St-Jean Bosco de Hull"</f>
        <v>Club de judo St-Jean Bosco de Hull</v>
      </c>
      <c r="G377" s="7" t="str">
        <f t="shared" si="66"/>
        <v>-42kg</v>
      </c>
      <c r="H377" s="7" t="str">
        <f>"0207934"</f>
        <v>0207934</v>
      </c>
      <c r="I377" s="7" t="str">
        <f t="shared" si="68"/>
        <v>QC</v>
      </c>
      <c r="J377" s="7" t="s">
        <v>174</v>
      </c>
      <c r="K377" s="7" t="str">
        <f>""</f>
        <v/>
      </c>
      <c r="L377" s="7" t="str">
        <f>""</f>
        <v/>
      </c>
      <c r="M377" s="7" t="s">
        <v>229</v>
      </c>
    </row>
    <row r="378" spans="1:14" x14ac:dyDescent="0.25">
      <c r="A378" s="7" t="str">
        <f>"Nicolas"</f>
        <v>Nicolas</v>
      </c>
      <c r="B378" s="7" t="str">
        <f>"Bussieres"</f>
        <v>Bussieres</v>
      </c>
      <c r="C378" s="7" t="str">
        <f t="shared" si="67"/>
        <v>M</v>
      </c>
      <c r="D378" s="7" t="str">
        <f t="shared" si="63"/>
        <v>U16</v>
      </c>
      <c r="E378" s="2">
        <v>2005</v>
      </c>
      <c r="F378" s="7" t="str">
        <f>"Club de judo Vallée du Richelieu"</f>
        <v>Club de judo Vallée du Richelieu</v>
      </c>
      <c r="G378" s="7" t="str">
        <f t="shared" si="66"/>
        <v>-42kg</v>
      </c>
      <c r="H378" s="7" t="str">
        <f>"0205591"</f>
        <v>0205591</v>
      </c>
      <c r="I378" s="7" t="str">
        <f t="shared" si="68"/>
        <v>QC</v>
      </c>
      <c r="J378" s="7" t="s">
        <v>175</v>
      </c>
      <c r="K378" s="7" t="str">
        <f>""</f>
        <v/>
      </c>
      <c r="L378" s="7" t="str">
        <f>""</f>
        <v/>
      </c>
      <c r="M378" s="7" t="s">
        <v>229</v>
      </c>
    </row>
    <row r="379" spans="1:14" x14ac:dyDescent="0.25">
      <c r="A379" s="7" t="str">
        <f>"Zakaria"</f>
        <v>Zakaria</v>
      </c>
      <c r="B379" s="7" t="str">
        <f>"Djeraba"</f>
        <v>Djeraba</v>
      </c>
      <c r="C379" s="7" t="str">
        <f t="shared" si="67"/>
        <v>M</v>
      </c>
      <c r="D379" s="7" t="str">
        <f t="shared" si="63"/>
        <v>U16</v>
      </c>
      <c r="E379" s="2">
        <v>2005</v>
      </c>
      <c r="F379" s="7" t="str">
        <f>"Club de judo Métropolitain inc."</f>
        <v>Club de judo Métropolitain inc.</v>
      </c>
      <c r="G379" s="7" t="str">
        <f t="shared" si="66"/>
        <v>-42kg</v>
      </c>
      <c r="H379" s="7" t="str">
        <f>"0197657"</f>
        <v>0197657</v>
      </c>
      <c r="I379" s="7" t="str">
        <f t="shared" si="68"/>
        <v>QC</v>
      </c>
      <c r="J379" s="7" t="s">
        <v>174</v>
      </c>
      <c r="K379" s="7" t="str">
        <f>""</f>
        <v/>
      </c>
      <c r="L379" s="7" t="str">
        <f>""</f>
        <v/>
      </c>
      <c r="M379" s="7" t="s">
        <v>229</v>
      </c>
    </row>
    <row r="380" spans="1:14" x14ac:dyDescent="0.25">
      <c r="A380" s="7" t="str">
        <f>"Antoine"</f>
        <v>Antoine</v>
      </c>
      <c r="B380" s="7" t="str">
        <f>"Fortin"</f>
        <v>Fortin</v>
      </c>
      <c r="C380" s="7" t="str">
        <f t="shared" si="67"/>
        <v>M</v>
      </c>
      <c r="D380" s="7" t="str">
        <f t="shared" si="63"/>
        <v>U16</v>
      </c>
      <c r="E380" s="2">
        <v>2004</v>
      </c>
      <c r="F380" s="7" t="str">
        <f>"Club de judo Albatros Inc."</f>
        <v>Club de judo Albatros Inc.</v>
      </c>
      <c r="G380" s="7" t="str">
        <f t="shared" si="66"/>
        <v>-42kg</v>
      </c>
      <c r="H380" s="7" t="str">
        <f>"0196149"</f>
        <v>0196149</v>
      </c>
      <c r="I380" s="7" t="str">
        <f t="shared" si="68"/>
        <v>QC</v>
      </c>
      <c r="J380" s="7" t="s">
        <v>174</v>
      </c>
      <c r="K380" s="7" t="str">
        <f>""</f>
        <v/>
      </c>
      <c r="L380" s="7" t="str">
        <f>""</f>
        <v/>
      </c>
      <c r="M380" s="7" t="s">
        <v>229</v>
      </c>
    </row>
    <row r="381" spans="1:14" x14ac:dyDescent="0.25">
      <c r="A381" s="7" t="str">
        <f>"Matis"</f>
        <v>Matis</v>
      </c>
      <c r="B381" s="7" t="str">
        <f>"Ganet"</f>
        <v>Ganet</v>
      </c>
      <c r="C381" s="7" t="str">
        <f t="shared" si="67"/>
        <v>M</v>
      </c>
      <c r="D381" s="7" t="str">
        <f t="shared" si="63"/>
        <v>U16</v>
      </c>
      <c r="E381" s="2">
        <v>2005</v>
      </c>
      <c r="F381" s="7" t="str">
        <f>"Dojo Zenshin"</f>
        <v>Dojo Zenshin</v>
      </c>
      <c r="G381" s="7" t="str">
        <f t="shared" si="66"/>
        <v>-42kg</v>
      </c>
      <c r="H381" s="7" t="str">
        <f>"0229648"</f>
        <v>0229648</v>
      </c>
      <c r="I381" s="7" t="str">
        <f t="shared" si="68"/>
        <v>QC</v>
      </c>
      <c r="J381" s="7" t="s">
        <v>168</v>
      </c>
      <c r="K381" s="7" t="str">
        <f>""</f>
        <v/>
      </c>
      <c r="L381" s="7" t="str">
        <f>""</f>
        <v/>
      </c>
      <c r="M381" s="7" t="s">
        <v>229</v>
      </c>
    </row>
    <row r="382" spans="1:14" x14ac:dyDescent="0.25">
      <c r="A382" s="7" t="str">
        <f>"Danill"</f>
        <v>Danill</v>
      </c>
      <c r="B382" s="7" t="str">
        <f>"Kremerman"</f>
        <v>Kremerman</v>
      </c>
      <c r="C382" s="7" t="str">
        <f t="shared" si="67"/>
        <v>M</v>
      </c>
      <c r="D382" s="7" t="str">
        <f t="shared" si="63"/>
        <v>U16</v>
      </c>
      <c r="E382" s="2">
        <v>2005</v>
      </c>
      <c r="F382" s="7" t="str">
        <f>"Sport Centre Ippon"</f>
        <v>Sport Centre Ippon</v>
      </c>
      <c r="G382" s="7" t="str">
        <f t="shared" si="66"/>
        <v>-42kg</v>
      </c>
      <c r="H382" s="7" t="str">
        <f>"0168611"</f>
        <v>0168611</v>
      </c>
      <c r="I382" s="7" t="str">
        <f t="shared" si="68"/>
        <v>QC</v>
      </c>
      <c r="J382" s="7" t="s">
        <v>163</v>
      </c>
      <c r="K382" s="7" t="str">
        <f>""</f>
        <v/>
      </c>
      <c r="L382" s="7" t="str">
        <f>""</f>
        <v/>
      </c>
      <c r="M382" s="7" t="s">
        <v>229</v>
      </c>
    </row>
    <row r="383" spans="1:14" x14ac:dyDescent="0.25">
      <c r="A383" s="7" t="str">
        <f>"Taha"</f>
        <v>Taha</v>
      </c>
      <c r="B383" s="7" t="str">
        <f>"Lamine"</f>
        <v>Lamine</v>
      </c>
      <c r="C383" s="7" t="str">
        <f t="shared" si="67"/>
        <v>M</v>
      </c>
      <c r="D383" s="7" t="str">
        <f t="shared" si="63"/>
        <v>U16</v>
      </c>
      <c r="E383" s="2">
        <v>2005</v>
      </c>
      <c r="F383" s="7" t="str">
        <f>"Club Judo Ben Inc."</f>
        <v>Club Judo Ben Inc.</v>
      </c>
      <c r="G383" s="7" t="str">
        <f t="shared" si="66"/>
        <v>-42kg</v>
      </c>
      <c r="H383" s="7" t="str">
        <f>"0222239"</f>
        <v>0222239</v>
      </c>
      <c r="I383" s="7" t="str">
        <f t="shared" si="68"/>
        <v>QC</v>
      </c>
      <c r="J383" s="7" t="s">
        <v>174</v>
      </c>
      <c r="K383" s="7" t="str">
        <f>""</f>
        <v/>
      </c>
      <c r="L383" s="7" t="str">
        <f>""</f>
        <v/>
      </c>
      <c r="M383" s="7" t="s">
        <v>229</v>
      </c>
    </row>
    <row r="384" spans="1:14" x14ac:dyDescent="0.25">
      <c r="A384" s="7" t="str">
        <f>"Mohammed Aymen"</f>
        <v>Mohammed Aymen</v>
      </c>
      <c r="B384" s="7" t="str">
        <f>"Laouedj"</f>
        <v>Laouedj</v>
      </c>
      <c r="C384" s="7" t="str">
        <f t="shared" si="67"/>
        <v>M</v>
      </c>
      <c r="D384" s="7" t="str">
        <f t="shared" si="63"/>
        <v>U16</v>
      </c>
      <c r="E384" s="2">
        <v>2005</v>
      </c>
      <c r="F384" s="7" t="str">
        <f>"Budokan Saint-Laurent"</f>
        <v>Budokan Saint-Laurent</v>
      </c>
      <c r="G384" s="7" t="str">
        <f t="shared" si="66"/>
        <v>-42kg</v>
      </c>
      <c r="H384" s="7" t="str">
        <f>"0222447"</f>
        <v>0222447</v>
      </c>
      <c r="I384" s="7" t="str">
        <f t="shared" si="68"/>
        <v>QC</v>
      </c>
      <c r="J384" s="7" t="s">
        <v>174</v>
      </c>
      <c r="K384" s="7" t="str">
        <f>""</f>
        <v/>
      </c>
      <c r="L384" s="7" t="str">
        <f>""</f>
        <v/>
      </c>
      <c r="M384" s="7" t="s">
        <v>229</v>
      </c>
    </row>
    <row r="385" spans="1:14" x14ac:dyDescent="0.25">
      <c r="A385" s="7" t="str">
        <f>"Artem"</f>
        <v>Artem</v>
      </c>
      <c r="B385" s="7" t="str">
        <f>"Neyolov"</f>
        <v>Neyolov</v>
      </c>
      <c r="C385" s="7" t="str">
        <f t="shared" si="67"/>
        <v>M</v>
      </c>
      <c r="D385" s="7" t="str">
        <f t="shared" si="63"/>
        <v>U16</v>
      </c>
      <c r="E385" s="2">
        <v>2006</v>
      </c>
      <c r="F385" s="7" t="str">
        <f>"Taifu Judo Club"</f>
        <v>Taifu Judo Club</v>
      </c>
      <c r="G385" s="7" t="str">
        <f t="shared" si="66"/>
        <v>-42kg</v>
      </c>
      <c r="H385" s="7" t="str">
        <f>"0193583"</f>
        <v>0193583</v>
      </c>
      <c r="I385" s="7" t="str">
        <f>"ON"</f>
        <v>ON</v>
      </c>
      <c r="J385" s="7" t="s">
        <v>174</v>
      </c>
      <c r="K385" s="7" t="str">
        <f>""</f>
        <v/>
      </c>
      <c r="L385" s="4" t="s">
        <v>263</v>
      </c>
      <c r="M385" s="7" t="s">
        <v>229</v>
      </c>
    </row>
    <row r="386" spans="1:14" x14ac:dyDescent="0.25">
      <c r="A386" s="7" t="str">
        <f>"Denis"</f>
        <v>Denis</v>
      </c>
      <c r="B386" s="7" t="str">
        <f>"Neyolov"</f>
        <v>Neyolov</v>
      </c>
      <c r="C386" s="7" t="str">
        <f t="shared" si="67"/>
        <v>M</v>
      </c>
      <c r="D386" s="7" t="str">
        <f t="shared" si="63"/>
        <v>U16</v>
      </c>
      <c r="E386" s="2">
        <v>2006</v>
      </c>
      <c r="F386" s="7" t="str">
        <f>"Taifu Judo Club"</f>
        <v>Taifu Judo Club</v>
      </c>
      <c r="G386" s="7" t="str">
        <f t="shared" si="66"/>
        <v>-42kg</v>
      </c>
      <c r="H386" s="7" t="str">
        <f>"0192343"</f>
        <v>0192343</v>
      </c>
      <c r="I386" s="7" t="str">
        <f>"ON"</f>
        <v>ON</v>
      </c>
      <c r="J386" s="7" t="s">
        <v>174</v>
      </c>
      <c r="K386" s="7" t="str">
        <f>""</f>
        <v/>
      </c>
      <c r="L386" s="4" t="s">
        <v>263</v>
      </c>
      <c r="M386" s="7" t="s">
        <v>229</v>
      </c>
    </row>
    <row r="387" spans="1:14" x14ac:dyDescent="0.25">
      <c r="A387" s="7" t="str">
        <f>"Charles"</f>
        <v>Charles</v>
      </c>
      <c r="B387" s="7" t="str">
        <f>"Ouellet"</f>
        <v>Ouellet</v>
      </c>
      <c r="C387" s="7" t="str">
        <f t="shared" si="67"/>
        <v>M</v>
      </c>
      <c r="D387" s="7" t="str">
        <f t="shared" si="63"/>
        <v>U16</v>
      </c>
      <c r="E387" s="2">
        <v>2004</v>
      </c>
      <c r="F387" s="7" t="str">
        <f>"Club de judo Shidokan inc."</f>
        <v>Club de judo Shidokan inc.</v>
      </c>
      <c r="G387" s="7" t="str">
        <f t="shared" si="66"/>
        <v>-42kg</v>
      </c>
      <c r="H387" s="7" t="str">
        <f>"0194837"</f>
        <v>0194837</v>
      </c>
      <c r="I387" s="7" t="str">
        <f t="shared" ref="I387:I392" si="69">"QC"</f>
        <v>QC</v>
      </c>
      <c r="J387" s="7" t="s">
        <v>163</v>
      </c>
      <c r="K387" s="7" t="str">
        <f>""</f>
        <v/>
      </c>
      <c r="L387" s="7" t="str">
        <f>""</f>
        <v/>
      </c>
      <c r="M387" s="7" t="s">
        <v>229</v>
      </c>
    </row>
    <row r="388" spans="1:14" x14ac:dyDescent="0.25">
      <c r="A388" s="7" t="str">
        <f>"William"</f>
        <v>William</v>
      </c>
      <c r="B388" s="7" t="str">
        <f>"Ouellet"</f>
        <v>Ouellet</v>
      </c>
      <c r="C388" s="7" t="str">
        <f t="shared" si="67"/>
        <v>M</v>
      </c>
      <c r="D388" s="7" t="str">
        <f t="shared" si="63"/>
        <v>U16</v>
      </c>
      <c r="E388" s="2">
        <v>2004</v>
      </c>
      <c r="F388" s="7" t="str">
        <f>"Club de judo Shidokan inc."</f>
        <v>Club de judo Shidokan inc.</v>
      </c>
      <c r="G388" s="7" t="str">
        <f t="shared" si="66"/>
        <v>-42kg</v>
      </c>
      <c r="H388" s="7" t="str">
        <f>"0194835"</f>
        <v>0194835</v>
      </c>
      <c r="I388" s="7" t="str">
        <f t="shared" si="69"/>
        <v>QC</v>
      </c>
      <c r="J388" s="7" t="s">
        <v>163</v>
      </c>
      <c r="K388" s="7" t="str">
        <f>""</f>
        <v/>
      </c>
      <c r="L388" s="7" t="str">
        <f>""</f>
        <v/>
      </c>
      <c r="M388" s="7" t="s">
        <v>229</v>
      </c>
    </row>
    <row r="389" spans="1:14" x14ac:dyDescent="0.25">
      <c r="A389" s="7" t="str">
        <f>"Nicholas"</f>
        <v>Nicholas</v>
      </c>
      <c r="B389" s="7" t="str">
        <f>"Simoneau"</f>
        <v>Simoneau</v>
      </c>
      <c r="C389" s="7" t="str">
        <f t="shared" si="67"/>
        <v>M</v>
      </c>
      <c r="D389" s="7" t="str">
        <f t="shared" si="63"/>
        <v>U16</v>
      </c>
      <c r="E389" s="2">
        <v>2005</v>
      </c>
      <c r="F389" s="7" t="str">
        <f>"Judo Victo Inc."</f>
        <v>Judo Victo Inc.</v>
      </c>
      <c r="G389" s="7" t="str">
        <f t="shared" si="66"/>
        <v>-42kg</v>
      </c>
      <c r="H389" s="7" t="str">
        <f>"0206214"</f>
        <v>0206214</v>
      </c>
      <c r="I389" s="7" t="str">
        <f t="shared" si="69"/>
        <v>QC</v>
      </c>
      <c r="J389" s="7" t="s">
        <v>174</v>
      </c>
      <c r="K389" s="7" t="str">
        <f>""</f>
        <v/>
      </c>
      <c r="L389" s="7" t="str">
        <f>""</f>
        <v/>
      </c>
      <c r="M389" s="7" t="s">
        <v>229</v>
      </c>
    </row>
    <row r="390" spans="1:14" x14ac:dyDescent="0.25">
      <c r="A390" s="7" t="str">
        <f>"Abdelmadjid"</f>
        <v>Abdelmadjid</v>
      </c>
      <c r="B390" s="7" t="str">
        <f>"Tayeb-Cherif"</f>
        <v>Tayeb-Cherif</v>
      </c>
      <c r="C390" s="7" t="str">
        <f t="shared" si="67"/>
        <v>M</v>
      </c>
      <c r="D390" s="7" t="str">
        <f t="shared" si="63"/>
        <v>U16</v>
      </c>
      <c r="E390" s="2">
        <v>1965</v>
      </c>
      <c r="F390" s="7" t="str">
        <f>"Club Judo Ben Inc."</f>
        <v>Club Judo Ben Inc.</v>
      </c>
      <c r="G390" s="7" t="str">
        <f t="shared" si="66"/>
        <v>-42kg</v>
      </c>
      <c r="H390" s="7" t="str">
        <f>"0013240"</f>
        <v>0013240</v>
      </c>
      <c r="I390" s="7" t="str">
        <f t="shared" si="69"/>
        <v>QC</v>
      </c>
      <c r="J390" s="7" t="s">
        <v>174</v>
      </c>
      <c r="K390" s="7" t="str">
        <f>""</f>
        <v/>
      </c>
      <c r="L390" s="4" t="s">
        <v>264</v>
      </c>
      <c r="M390" s="7" t="s">
        <v>229</v>
      </c>
    </row>
    <row r="391" spans="1:14" x14ac:dyDescent="0.25">
      <c r="A391" s="5" t="str">
        <f>"Rayane"</f>
        <v>Rayane</v>
      </c>
      <c r="B391" s="5" t="str">
        <f>"Boussanni"</f>
        <v>Boussanni</v>
      </c>
      <c r="C391" s="5" t="str">
        <f t="shared" si="67"/>
        <v>M</v>
      </c>
      <c r="D391" s="5" t="str">
        <f t="shared" si="63"/>
        <v>U16</v>
      </c>
      <c r="E391" s="2">
        <v>2004</v>
      </c>
      <c r="F391" s="5" t="str">
        <f>"Club de judo St-Jean Bosco de Hull"</f>
        <v>Club de judo St-Jean Bosco de Hull</v>
      </c>
      <c r="G391" s="5" t="str">
        <f t="shared" ref="G391:G400" si="70">"-46kg"</f>
        <v>-46kg</v>
      </c>
      <c r="H391" s="5" t="str">
        <f>"0217314"</f>
        <v>0217314</v>
      </c>
      <c r="I391" s="5" t="str">
        <f t="shared" si="69"/>
        <v>QC</v>
      </c>
      <c r="J391" s="5" t="s">
        <v>171</v>
      </c>
      <c r="K391" s="5" t="str">
        <f>""</f>
        <v/>
      </c>
      <c r="L391" s="5" t="str">
        <f>""</f>
        <v/>
      </c>
      <c r="M391" s="5" t="s">
        <v>238</v>
      </c>
      <c r="N391" s="5"/>
    </row>
    <row r="392" spans="1:14" x14ac:dyDescent="0.25">
      <c r="A392" s="5" t="str">
        <f>"Sunny"</f>
        <v>Sunny</v>
      </c>
      <c r="B392" s="5" t="str">
        <f>"Brochu"</f>
        <v>Brochu</v>
      </c>
      <c r="C392" s="5" t="str">
        <f t="shared" si="67"/>
        <v>M</v>
      </c>
      <c r="D392" s="5" t="str">
        <f t="shared" si="63"/>
        <v>U16</v>
      </c>
      <c r="E392" s="2">
        <v>2005</v>
      </c>
      <c r="F392" s="5" t="str">
        <f>"Club de judo Seïkidokan inc."</f>
        <v>Club de judo Seïkidokan inc.</v>
      </c>
      <c r="G392" s="5" t="str">
        <f t="shared" si="70"/>
        <v>-46kg</v>
      </c>
      <c r="H392" s="5" t="str">
        <f>"0237989"</f>
        <v>0237989</v>
      </c>
      <c r="I392" s="5" t="str">
        <f t="shared" si="69"/>
        <v>QC</v>
      </c>
      <c r="J392" s="5" t="s">
        <v>171</v>
      </c>
      <c r="K392" s="5" t="str">
        <f>""</f>
        <v/>
      </c>
      <c r="L392" s="5" t="str">
        <f>""</f>
        <v/>
      </c>
      <c r="M392" s="5" t="s">
        <v>238</v>
      </c>
      <c r="N392" s="5"/>
    </row>
    <row r="393" spans="1:14" x14ac:dyDescent="0.25">
      <c r="A393" s="5" t="str">
        <f>"Shalva"</f>
        <v>Shalva</v>
      </c>
      <c r="B393" s="5" t="str">
        <f>"Ukhurgunashvili"</f>
        <v>Ukhurgunashvili</v>
      </c>
      <c r="C393" s="5" t="str">
        <f t="shared" si="67"/>
        <v>M</v>
      </c>
      <c r="D393" s="5" t="str">
        <f t="shared" si="63"/>
        <v>U16</v>
      </c>
      <c r="E393" s="2">
        <v>2005</v>
      </c>
      <c r="F393" s="5" t="str">
        <f>"Olympic Judo Centre"</f>
        <v>Olympic Judo Centre</v>
      </c>
      <c r="G393" s="5" t="str">
        <f t="shared" si="70"/>
        <v>-46kg</v>
      </c>
      <c r="H393" s="5" t="str">
        <f>"0411187"</f>
        <v>0411187</v>
      </c>
      <c r="I393" s="5" t="str">
        <f>"ON"</f>
        <v>ON</v>
      </c>
      <c r="J393" s="5" t="s">
        <v>172</v>
      </c>
      <c r="K393" s="5" t="str">
        <f>""</f>
        <v/>
      </c>
      <c r="L393" s="5" t="str">
        <f>""</f>
        <v/>
      </c>
      <c r="M393" s="5" t="s">
        <v>238</v>
      </c>
      <c r="N393" s="5"/>
    </row>
    <row r="394" spans="1:14" x14ac:dyDescent="0.25">
      <c r="A394" s="6" t="str">
        <f>"Xavier"</f>
        <v>Xavier</v>
      </c>
      <c r="B394" s="6" t="str">
        <f>"Boulet"</f>
        <v>Boulet</v>
      </c>
      <c r="C394" s="6" t="str">
        <f t="shared" si="67"/>
        <v>M</v>
      </c>
      <c r="D394" s="6" t="str">
        <f t="shared" si="63"/>
        <v>U16</v>
      </c>
      <c r="E394" s="2">
        <v>2005</v>
      </c>
      <c r="F394" s="6" t="str">
        <f>"Dojo Zenshin"</f>
        <v>Dojo Zenshin</v>
      </c>
      <c r="G394" s="6" t="str">
        <f t="shared" si="70"/>
        <v>-46kg</v>
      </c>
      <c r="H394" s="6" t="str">
        <f>"0203880"</f>
        <v>0203880</v>
      </c>
      <c r="I394" s="6" t="str">
        <f>"QC"</f>
        <v>QC</v>
      </c>
      <c r="J394" s="6" t="s">
        <v>174</v>
      </c>
      <c r="K394" s="6" t="str">
        <f>""</f>
        <v/>
      </c>
      <c r="L394" s="6" t="str">
        <f>""</f>
        <v/>
      </c>
      <c r="M394" s="6" t="s">
        <v>230</v>
      </c>
    </row>
    <row r="395" spans="1:14" x14ac:dyDescent="0.25">
      <c r="A395" s="6" t="str">
        <f>"Raphaël"</f>
        <v>Raphaël</v>
      </c>
      <c r="B395" s="6" t="str">
        <f>"Brûlé"</f>
        <v>Brûlé</v>
      </c>
      <c r="C395" s="6" t="str">
        <f t="shared" si="67"/>
        <v>M</v>
      </c>
      <c r="D395" s="6" t="str">
        <f t="shared" ref="D395:D426" si="71">"U16"</f>
        <v>U16</v>
      </c>
      <c r="E395" s="2">
        <v>2004</v>
      </c>
      <c r="F395" s="6" t="str">
        <f>"Club de judo Ghishintaido inc."</f>
        <v>Club de judo Ghishintaido inc.</v>
      </c>
      <c r="G395" s="6" t="str">
        <f t="shared" si="70"/>
        <v>-46kg</v>
      </c>
      <c r="H395" s="6" t="str">
        <f>"0153307"</f>
        <v>0153307</v>
      </c>
      <c r="I395" s="6" t="str">
        <f>"QC"</f>
        <v>QC</v>
      </c>
      <c r="J395" s="6" t="s">
        <v>164</v>
      </c>
      <c r="K395" s="6" t="str">
        <f>""</f>
        <v/>
      </c>
      <c r="L395" s="6" t="str">
        <f>""</f>
        <v/>
      </c>
      <c r="M395" s="6" t="s">
        <v>230</v>
      </c>
    </row>
    <row r="396" spans="1:14" x14ac:dyDescent="0.25">
      <c r="A396" s="6" t="str">
        <f>"Olivier"</f>
        <v>Olivier</v>
      </c>
      <c r="B396" s="6" t="str">
        <f>"Hotte"</f>
        <v>Hotte</v>
      </c>
      <c r="C396" s="6" t="str">
        <f t="shared" si="67"/>
        <v>M</v>
      </c>
      <c r="D396" s="6" t="str">
        <f t="shared" si="71"/>
        <v>U16</v>
      </c>
      <c r="E396" s="2">
        <v>2005</v>
      </c>
      <c r="F396" s="6" t="str">
        <f>"Club de judo St-Jean Bosco de Hull"</f>
        <v>Club de judo St-Jean Bosco de Hull</v>
      </c>
      <c r="G396" s="6" t="str">
        <f t="shared" si="70"/>
        <v>-46kg</v>
      </c>
      <c r="H396" s="6" t="str">
        <f>"0180013"</f>
        <v>0180013</v>
      </c>
      <c r="I396" s="6" t="str">
        <f>"QC"</f>
        <v>QC</v>
      </c>
      <c r="J396" s="6" t="s">
        <v>174</v>
      </c>
      <c r="K396" s="6" t="str">
        <f>""</f>
        <v/>
      </c>
      <c r="L396" s="6" t="str">
        <f>""</f>
        <v/>
      </c>
      <c r="M396" s="6" t="s">
        <v>230</v>
      </c>
    </row>
    <row r="397" spans="1:14" x14ac:dyDescent="0.25">
      <c r="A397" s="6" t="str">
        <f>"Vincent"</f>
        <v>Vincent</v>
      </c>
      <c r="B397" s="6" t="str">
        <f>"Ly"</f>
        <v>Ly</v>
      </c>
      <c r="C397" s="6" t="str">
        <f t="shared" si="67"/>
        <v>M</v>
      </c>
      <c r="D397" s="6" t="str">
        <f t="shared" si="71"/>
        <v>U16</v>
      </c>
      <c r="E397" s="2">
        <v>2004</v>
      </c>
      <c r="F397" s="6" t="str">
        <f>"Itc Budokan"</f>
        <v>Itc Budokan</v>
      </c>
      <c r="G397" s="6" t="str">
        <f t="shared" si="70"/>
        <v>-46kg</v>
      </c>
      <c r="H397" s="6" t="str">
        <f>"0177715"</f>
        <v>0177715</v>
      </c>
      <c r="I397" s="6" t="str">
        <f>"QC"</f>
        <v>QC</v>
      </c>
      <c r="J397" s="6" t="s">
        <v>167</v>
      </c>
      <c r="K397" s="6" t="str">
        <f>""</f>
        <v/>
      </c>
      <c r="L397" s="6" t="str">
        <f>""</f>
        <v/>
      </c>
      <c r="M397" s="6" t="s">
        <v>230</v>
      </c>
    </row>
    <row r="398" spans="1:14" x14ac:dyDescent="0.25">
      <c r="A398" s="6" t="str">
        <f>"Philipp"</f>
        <v>Philipp</v>
      </c>
      <c r="B398" s="6" t="str">
        <f>"Mayorov"</f>
        <v>Mayorov</v>
      </c>
      <c r="C398" s="6" t="str">
        <f t="shared" si="67"/>
        <v>M</v>
      </c>
      <c r="D398" s="6" t="str">
        <f t="shared" si="71"/>
        <v>U16</v>
      </c>
      <c r="E398" s="2">
        <v>2004</v>
      </c>
      <c r="F398" s="6" t="str">
        <f>"Challenge Sports Club"</f>
        <v>Challenge Sports Club</v>
      </c>
      <c r="G398" s="6" t="str">
        <f t="shared" si="70"/>
        <v>-46kg</v>
      </c>
      <c r="H398" s="6" t="str">
        <f>"0195476"</f>
        <v>0195476</v>
      </c>
      <c r="I398" s="6" t="str">
        <f>"ON"</f>
        <v>ON</v>
      </c>
      <c r="J398" s="6" t="s">
        <v>163</v>
      </c>
      <c r="K398" s="6" t="str">
        <f>""</f>
        <v/>
      </c>
      <c r="L398" s="6" t="str">
        <f>""</f>
        <v/>
      </c>
      <c r="M398" s="6" t="s">
        <v>230</v>
      </c>
    </row>
    <row r="399" spans="1:14" x14ac:dyDescent="0.25">
      <c r="A399" s="6" t="str">
        <f>"Samuel"</f>
        <v>Samuel</v>
      </c>
      <c r="B399" s="6" t="str">
        <f>"Nepton"</f>
        <v>Nepton</v>
      </c>
      <c r="C399" s="6" t="str">
        <f t="shared" si="67"/>
        <v>M</v>
      </c>
      <c r="D399" s="6" t="str">
        <f t="shared" si="71"/>
        <v>U16</v>
      </c>
      <c r="E399" s="2">
        <v>2004</v>
      </c>
      <c r="F399" s="6" t="str">
        <f>"Club judokas Jonquière inc."</f>
        <v>Club judokas Jonquière inc.</v>
      </c>
      <c r="G399" s="6" t="str">
        <f t="shared" si="70"/>
        <v>-46kg</v>
      </c>
      <c r="H399" s="6" t="str">
        <f>"0184296"</f>
        <v>0184296</v>
      </c>
      <c r="I399" s="6" t="str">
        <f t="shared" ref="I399:I404" si="72">"QC"</f>
        <v>QC</v>
      </c>
      <c r="J399" s="6" t="s">
        <v>167</v>
      </c>
      <c r="K399" s="6" t="str">
        <f>""</f>
        <v/>
      </c>
      <c r="L399" s="6" t="str">
        <f>""</f>
        <v/>
      </c>
      <c r="M399" s="6" t="s">
        <v>230</v>
      </c>
    </row>
    <row r="400" spans="1:14" x14ac:dyDescent="0.25">
      <c r="A400" s="6" t="str">
        <f>"Nicholas"</f>
        <v>Nicholas</v>
      </c>
      <c r="B400" s="6" t="str">
        <f>"Ouellet"</f>
        <v>Ouellet</v>
      </c>
      <c r="C400" s="6" t="str">
        <f t="shared" si="67"/>
        <v>M</v>
      </c>
      <c r="D400" s="6" t="str">
        <f t="shared" si="71"/>
        <v>U16</v>
      </c>
      <c r="E400" s="2">
        <v>2005</v>
      </c>
      <c r="F400" s="6" t="str">
        <f>"Club de judo Shidokan inc."</f>
        <v>Club de judo Shidokan inc.</v>
      </c>
      <c r="G400" s="6" t="str">
        <f t="shared" si="70"/>
        <v>-46kg</v>
      </c>
      <c r="H400" s="6" t="str">
        <f>"0194836"</f>
        <v>0194836</v>
      </c>
      <c r="I400" s="6" t="str">
        <f t="shared" si="72"/>
        <v>QC</v>
      </c>
      <c r="J400" s="6" t="s">
        <v>174</v>
      </c>
      <c r="K400" s="6" t="str">
        <f>""</f>
        <v/>
      </c>
      <c r="L400" s="6" t="str">
        <f>""</f>
        <v/>
      </c>
      <c r="M400" s="6" t="s">
        <v>230</v>
      </c>
    </row>
    <row r="401" spans="1:14" x14ac:dyDescent="0.25">
      <c r="A401" s="1" t="str">
        <f>"Wacim"</f>
        <v>Wacim</v>
      </c>
      <c r="B401" s="1" t="str">
        <f>"Benzamouche"</f>
        <v>Benzamouche</v>
      </c>
      <c r="C401" s="1" t="str">
        <f t="shared" si="67"/>
        <v>M</v>
      </c>
      <c r="D401" s="1" t="str">
        <f t="shared" si="71"/>
        <v>U16</v>
      </c>
      <c r="E401" s="2">
        <v>2005</v>
      </c>
      <c r="F401" s="1" t="str">
        <f>"Club de judo Métropolitain inc."</f>
        <v>Club de judo Métropolitain inc.</v>
      </c>
      <c r="G401" s="1" t="str">
        <f>"-50kg"</f>
        <v>-50kg</v>
      </c>
      <c r="H401" s="1" t="str">
        <f>"0194289"</f>
        <v>0194289</v>
      </c>
      <c r="I401" s="1" t="str">
        <f t="shared" si="72"/>
        <v>QC</v>
      </c>
      <c r="J401" s="1" t="s">
        <v>172</v>
      </c>
      <c r="K401" s="1" t="str">
        <f>""</f>
        <v/>
      </c>
      <c r="L401" s="1" t="str">
        <f>""</f>
        <v/>
      </c>
      <c r="M401" s="1" t="s">
        <v>243</v>
      </c>
      <c r="N401" s="1"/>
    </row>
    <row r="402" spans="1:14" x14ac:dyDescent="0.25">
      <c r="A402" s="1" t="str">
        <f>"Rami"</f>
        <v>Rami</v>
      </c>
      <c r="B402" s="1" t="str">
        <f>"El Hama"</f>
        <v>El Hama</v>
      </c>
      <c r="C402" s="1" t="str">
        <f t="shared" si="67"/>
        <v>M</v>
      </c>
      <c r="D402" s="1" t="str">
        <f t="shared" si="71"/>
        <v>U16</v>
      </c>
      <c r="E402" s="2">
        <v>2005</v>
      </c>
      <c r="F402" s="1" t="str">
        <f>"Budokan Saint-Laurent"</f>
        <v>Budokan Saint-Laurent</v>
      </c>
      <c r="G402" s="1" t="str">
        <f>"-50kg"</f>
        <v>-50kg</v>
      </c>
      <c r="H402" s="1" t="str">
        <f>"0234870"</f>
        <v>0234870</v>
      </c>
      <c r="I402" s="1" t="str">
        <f t="shared" si="72"/>
        <v>QC</v>
      </c>
      <c r="J402" s="1" t="s">
        <v>171</v>
      </c>
      <c r="K402" s="1" t="str">
        <f>""</f>
        <v/>
      </c>
      <c r="L402" s="1" t="str">
        <f>""</f>
        <v/>
      </c>
      <c r="M402" s="1" t="s">
        <v>243</v>
      </c>
      <c r="N402" s="1"/>
    </row>
    <row r="403" spans="1:14" x14ac:dyDescent="0.25">
      <c r="A403" s="7" t="str">
        <f>"Clement"</f>
        <v>Clement</v>
      </c>
      <c r="B403" s="7" t="str">
        <f>"Boye"</f>
        <v>Boye</v>
      </c>
      <c r="C403" s="7" t="str">
        <f t="shared" si="67"/>
        <v>M</v>
      </c>
      <c r="D403" s="7" t="str">
        <f t="shared" si="71"/>
        <v>U16</v>
      </c>
      <c r="E403" s="2">
        <v>2005</v>
      </c>
      <c r="F403" s="7" t="str">
        <f>"Judo Victo Inc."</f>
        <v>Judo Victo Inc.</v>
      </c>
      <c r="G403" s="7" t="str">
        <f>"-50kg"</f>
        <v>-50kg</v>
      </c>
      <c r="H403" s="7" t="str">
        <f>"0214360"</f>
        <v>0214360</v>
      </c>
      <c r="I403" s="7" t="str">
        <f t="shared" si="72"/>
        <v>QC</v>
      </c>
      <c r="J403" s="7" t="s">
        <v>174</v>
      </c>
      <c r="K403" s="7" t="str">
        <f>""</f>
        <v/>
      </c>
      <c r="L403" s="7" t="str">
        <f>""</f>
        <v/>
      </c>
      <c r="M403" s="7" t="s">
        <v>231</v>
      </c>
    </row>
    <row r="404" spans="1:14" x14ac:dyDescent="0.25">
      <c r="A404" s="7" t="str">
        <f>"Loïc"</f>
        <v>Loïc</v>
      </c>
      <c r="B404" s="7" t="str">
        <f>"Croussette"</f>
        <v>Croussette</v>
      </c>
      <c r="C404" s="7" t="str">
        <f t="shared" si="67"/>
        <v>M</v>
      </c>
      <c r="D404" s="7" t="str">
        <f t="shared" si="71"/>
        <v>U16</v>
      </c>
      <c r="E404" s="2">
        <v>2004</v>
      </c>
      <c r="F404" s="7" t="str">
        <f>"Judosphère"</f>
        <v>Judosphère</v>
      </c>
      <c r="G404" s="7" t="str">
        <f>"-50kg"</f>
        <v>-50kg</v>
      </c>
      <c r="H404" s="7" t="str">
        <f>"0171801"</f>
        <v>0171801</v>
      </c>
      <c r="I404" s="7" t="str">
        <f t="shared" si="72"/>
        <v>QC</v>
      </c>
      <c r="J404" s="7" t="s">
        <v>167</v>
      </c>
      <c r="K404" s="7" t="str">
        <f>""</f>
        <v/>
      </c>
      <c r="L404" s="7" t="str">
        <f>""</f>
        <v/>
      </c>
      <c r="M404" s="7" t="s">
        <v>231</v>
      </c>
    </row>
    <row r="405" spans="1:14" x14ac:dyDescent="0.25">
      <c r="A405" s="7" t="s">
        <v>83</v>
      </c>
      <c r="B405" s="7" t="s">
        <v>84</v>
      </c>
      <c r="C405" s="7" t="s">
        <v>13</v>
      </c>
      <c r="D405" s="7" t="str">
        <f t="shared" si="71"/>
        <v>U16</v>
      </c>
      <c r="E405" s="2">
        <v>2004</v>
      </c>
      <c r="F405" s="7" t="s">
        <v>78</v>
      </c>
      <c r="G405" s="7" t="s">
        <v>85</v>
      </c>
      <c r="H405" s="7" t="s">
        <v>86</v>
      </c>
      <c r="I405" s="7" t="s">
        <v>17</v>
      </c>
      <c r="J405" s="7" t="s">
        <v>167</v>
      </c>
      <c r="K405" s="7" t="s">
        <v>10</v>
      </c>
      <c r="L405" s="7" t="s">
        <v>10</v>
      </c>
      <c r="M405" s="7" t="s">
        <v>231</v>
      </c>
    </row>
    <row r="406" spans="1:14" x14ac:dyDescent="0.25">
      <c r="A406" s="7" t="str">
        <f>"Daniel"</f>
        <v>Daniel</v>
      </c>
      <c r="B406" s="7" t="str">
        <f>"Hristov"</f>
        <v>Hristov</v>
      </c>
      <c r="C406" s="7" t="str">
        <f t="shared" ref="C406:C426" si="73">"M"</f>
        <v>M</v>
      </c>
      <c r="D406" s="7" t="str">
        <f t="shared" si="71"/>
        <v>U16</v>
      </c>
      <c r="E406" s="2">
        <v>2004</v>
      </c>
      <c r="F406" s="7" t="str">
        <f>"Dojo Perrot Shima"</f>
        <v>Dojo Perrot Shima</v>
      </c>
      <c r="G406" s="7" t="str">
        <f t="shared" ref="G406:G416" si="74">"-50kg"</f>
        <v>-50kg</v>
      </c>
      <c r="H406" s="7" t="str">
        <f>"0184799"</f>
        <v>0184799</v>
      </c>
      <c r="I406" s="7" t="str">
        <f t="shared" ref="I406:I411" si="75">"QC"</f>
        <v>QC</v>
      </c>
      <c r="J406" s="7" t="s">
        <v>167</v>
      </c>
      <c r="K406" s="7" t="str">
        <f>""</f>
        <v/>
      </c>
      <c r="L406" s="7" t="str">
        <f>""</f>
        <v/>
      </c>
      <c r="M406" s="7" t="s">
        <v>231</v>
      </c>
    </row>
    <row r="407" spans="1:14" x14ac:dyDescent="0.25">
      <c r="A407" s="7" t="str">
        <f>"Alexis"</f>
        <v>Alexis</v>
      </c>
      <c r="B407" s="7" t="str">
        <f>"Kearney"</f>
        <v>Kearney</v>
      </c>
      <c r="C407" s="7" t="str">
        <f t="shared" si="73"/>
        <v>M</v>
      </c>
      <c r="D407" s="7" t="str">
        <f t="shared" si="71"/>
        <v>U16</v>
      </c>
      <c r="E407" s="2">
        <v>2005</v>
      </c>
      <c r="F407" s="7" t="str">
        <f>"Judo Blainville"</f>
        <v>Judo Blainville</v>
      </c>
      <c r="G407" s="7" t="str">
        <f t="shared" si="74"/>
        <v>-50kg</v>
      </c>
      <c r="H407" s="7" t="str">
        <f>"0175267"</f>
        <v>0175267</v>
      </c>
      <c r="I407" s="7" t="str">
        <f t="shared" si="75"/>
        <v>QC</v>
      </c>
      <c r="J407" s="7" t="s">
        <v>163</v>
      </c>
      <c r="K407" s="7" t="str">
        <f>""</f>
        <v/>
      </c>
      <c r="L407" s="7" t="str">
        <f>""</f>
        <v/>
      </c>
      <c r="M407" s="7" t="s">
        <v>231</v>
      </c>
    </row>
    <row r="408" spans="1:14" x14ac:dyDescent="0.25">
      <c r="A408" s="7" t="str">
        <f>"Nils"</f>
        <v>Nils</v>
      </c>
      <c r="B408" s="7" t="str">
        <f>"Lahaye"</f>
        <v>Lahaye</v>
      </c>
      <c r="C408" s="7" t="str">
        <f t="shared" si="73"/>
        <v>M</v>
      </c>
      <c r="D408" s="7" t="str">
        <f t="shared" si="71"/>
        <v>U16</v>
      </c>
      <c r="E408" s="2">
        <v>2005</v>
      </c>
      <c r="F408" s="7" t="str">
        <f>"Judo Mont-Bruno"</f>
        <v>Judo Mont-Bruno</v>
      </c>
      <c r="G408" s="7" t="str">
        <f t="shared" si="74"/>
        <v>-50kg</v>
      </c>
      <c r="H408" s="7" t="str">
        <f>"0161411"</f>
        <v>0161411</v>
      </c>
      <c r="I408" s="7" t="str">
        <f t="shared" si="75"/>
        <v>QC</v>
      </c>
      <c r="J408" s="7" t="s">
        <v>174</v>
      </c>
      <c r="K408" s="7" t="str">
        <f>""</f>
        <v/>
      </c>
      <c r="L408" s="7" t="str">
        <f>""</f>
        <v/>
      </c>
      <c r="M408" s="7" t="s">
        <v>231</v>
      </c>
    </row>
    <row r="409" spans="1:14" x14ac:dyDescent="0.25">
      <c r="A409" s="7" t="str">
        <f>"Alexi"</f>
        <v>Alexi</v>
      </c>
      <c r="B409" s="7" t="str">
        <f>"Levesque"</f>
        <v>Levesque</v>
      </c>
      <c r="C409" s="7" t="str">
        <f t="shared" si="73"/>
        <v>M</v>
      </c>
      <c r="D409" s="7" t="str">
        <f t="shared" si="71"/>
        <v>U16</v>
      </c>
      <c r="E409" s="2">
        <v>2004</v>
      </c>
      <c r="F409" s="7" t="str">
        <f>"Club de judo Rikidokan inc."</f>
        <v>Club de judo Rikidokan inc.</v>
      </c>
      <c r="G409" s="7" t="str">
        <f t="shared" si="74"/>
        <v>-50kg</v>
      </c>
      <c r="H409" s="7" t="str">
        <f>"0179889"</f>
        <v>0179889</v>
      </c>
      <c r="I409" s="7" t="str">
        <f t="shared" si="75"/>
        <v>QC</v>
      </c>
      <c r="J409" s="7" t="s">
        <v>167</v>
      </c>
      <c r="K409" s="7" t="str">
        <f>""</f>
        <v/>
      </c>
      <c r="L409" s="7" t="str">
        <f>""</f>
        <v/>
      </c>
      <c r="M409" s="7" t="s">
        <v>231</v>
      </c>
    </row>
    <row r="410" spans="1:14" x14ac:dyDescent="0.25">
      <c r="A410" s="7" t="str">
        <f>"Shane"</f>
        <v>Shane</v>
      </c>
      <c r="B410" s="7" t="str">
        <f>"Lewis"</f>
        <v>Lewis</v>
      </c>
      <c r="C410" s="7" t="str">
        <f t="shared" si="73"/>
        <v>M</v>
      </c>
      <c r="D410" s="7" t="str">
        <f t="shared" si="71"/>
        <v>U16</v>
      </c>
      <c r="E410" s="2">
        <v>2004</v>
      </c>
      <c r="F410" s="7" t="str">
        <f>"Dojo Perrot Shima"</f>
        <v>Dojo Perrot Shima</v>
      </c>
      <c r="G410" s="7" t="str">
        <f t="shared" si="74"/>
        <v>-50kg</v>
      </c>
      <c r="H410" s="7" t="str">
        <f>"0193668"</f>
        <v>0193668</v>
      </c>
      <c r="I410" s="7" t="str">
        <f t="shared" si="75"/>
        <v>QC</v>
      </c>
      <c r="J410" s="7" t="s">
        <v>167</v>
      </c>
      <c r="K410" s="7" t="str">
        <f>""</f>
        <v/>
      </c>
      <c r="L410" s="7" t="str">
        <f>""</f>
        <v/>
      </c>
      <c r="M410" s="7" t="s">
        <v>231</v>
      </c>
    </row>
    <row r="411" spans="1:14" x14ac:dyDescent="0.25">
      <c r="A411" s="7" t="str">
        <f>"Aurélien"</f>
        <v>Aurélien</v>
      </c>
      <c r="B411" s="7" t="str">
        <f>"McDougall"</f>
        <v>McDougall</v>
      </c>
      <c r="C411" s="7" t="str">
        <f t="shared" si="73"/>
        <v>M</v>
      </c>
      <c r="D411" s="7" t="str">
        <f t="shared" si="71"/>
        <v>U16</v>
      </c>
      <c r="E411" s="2">
        <v>2005</v>
      </c>
      <c r="F411" s="7" t="str">
        <f>"Club de judo Olympique"</f>
        <v>Club de judo Olympique</v>
      </c>
      <c r="G411" s="7" t="str">
        <f t="shared" si="74"/>
        <v>-50kg</v>
      </c>
      <c r="H411" s="7" t="str">
        <f>"0165633"</f>
        <v>0165633</v>
      </c>
      <c r="I411" s="7" t="str">
        <f t="shared" si="75"/>
        <v>QC</v>
      </c>
      <c r="J411" s="7" t="s">
        <v>163</v>
      </c>
      <c r="K411" s="7" t="str">
        <f>""</f>
        <v/>
      </c>
      <c r="L411" s="7" t="str">
        <f>""</f>
        <v/>
      </c>
      <c r="M411" s="7" t="s">
        <v>231</v>
      </c>
    </row>
    <row r="412" spans="1:14" x14ac:dyDescent="0.25">
      <c r="A412" s="7" t="str">
        <f>"Andrew"</f>
        <v>Andrew</v>
      </c>
      <c r="B412" s="7" t="str">
        <f>"Murray"</f>
        <v>Murray</v>
      </c>
      <c r="C412" s="7" t="str">
        <f t="shared" si="73"/>
        <v>M</v>
      </c>
      <c r="D412" s="7" t="str">
        <f t="shared" si="71"/>
        <v>U16</v>
      </c>
      <c r="E412" s="2">
        <v>2005</v>
      </c>
      <c r="F412" s="7" t="str">
        <f>"Ottawa Judo Club"</f>
        <v>Ottawa Judo Club</v>
      </c>
      <c r="G412" s="7" t="str">
        <f t="shared" si="74"/>
        <v>-50kg</v>
      </c>
      <c r="H412" s="7" t="str">
        <f>"0179630"</f>
        <v>0179630</v>
      </c>
      <c r="I412" s="7" t="str">
        <f>"ON"</f>
        <v>ON</v>
      </c>
      <c r="J412" s="7" t="s">
        <v>175</v>
      </c>
      <c r="K412" s="7" t="str">
        <f>""</f>
        <v/>
      </c>
      <c r="L412" s="7" t="str">
        <f>""</f>
        <v/>
      </c>
      <c r="M412" s="7" t="s">
        <v>231</v>
      </c>
    </row>
    <row r="413" spans="1:14" x14ac:dyDescent="0.25">
      <c r="A413" s="7" t="str">
        <f>"Thomas"</f>
        <v>Thomas</v>
      </c>
      <c r="B413" s="7" t="str">
        <f>"Savoie"</f>
        <v>Savoie</v>
      </c>
      <c r="C413" s="7" t="str">
        <f t="shared" si="73"/>
        <v>M</v>
      </c>
      <c r="D413" s="7" t="str">
        <f t="shared" si="71"/>
        <v>U16</v>
      </c>
      <c r="E413" s="2">
        <v>2004</v>
      </c>
      <c r="F413" s="7" t="str">
        <f>"Bushidokan"</f>
        <v>Bushidokan</v>
      </c>
      <c r="G413" s="7" t="str">
        <f t="shared" si="74"/>
        <v>-50kg</v>
      </c>
      <c r="H413" s="7" t="str">
        <f>"0162270"</f>
        <v>0162270</v>
      </c>
      <c r="I413" s="7" t="str">
        <f t="shared" ref="I413:I426" si="76">"QC"</f>
        <v>QC</v>
      </c>
      <c r="J413" s="7" t="s">
        <v>163</v>
      </c>
      <c r="K413" s="7" t="str">
        <f>""</f>
        <v/>
      </c>
      <c r="L413" s="7" t="str">
        <f>""</f>
        <v/>
      </c>
      <c r="M413" s="7" t="s">
        <v>231</v>
      </c>
    </row>
    <row r="414" spans="1:14" x14ac:dyDescent="0.25">
      <c r="A414" s="7" t="str">
        <f>"Denis"</f>
        <v>Denis</v>
      </c>
      <c r="B414" s="7" t="str">
        <f>"Voronov"</f>
        <v>Voronov</v>
      </c>
      <c r="C414" s="7" t="str">
        <f t="shared" si="73"/>
        <v>M</v>
      </c>
      <c r="D414" s="7" t="str">
        <f t="shared" si="71"/>
        <v>U16</v>
      </c>
      <c r="E414" s="2">
        <v>2005</v>
      </c>
      <c r="F414" s="7" t="str">
        <f>"Sport Centre Ippon"</f>
        <v>Sport Centre Ippon</v>
      </c>
      <c r="G414" s="7" t="str">
        <f t="shared" si="74"/>
        <v>-50kg</v>
      </c>
      <c r="H414" s="7" t="str">
        <f>"0206471"</f>
        <v>0206471</v>
      </c>
      <c r="I414" s="7" t="str">
        <f t="shared" si="76"/>
        <v>QC</v>
      </c>
      <c r="J414" s="7" t="s">
        <v>163</v>
      </c>
      <c r="K414" s="7" t="str">
        <f>""</f>
        <v/>
      </c>
      <c r="L414" s="7" t="str">
        <f>""</f>
        <v/>
      </c>
      <c r="M414" s="7" t="s">
        <v>231</v>
      </c>
    </row>
    <row r="415" spans="1:14" x14ac:dyDescent="0.25">
      <c r="A415" s="7" t="str">
        <f>"Steven"</f>
        <v>Steven</v>
      </c>
      <c r="B415" s="7" t="str">
        <f>"Yana"</f>
        <v>Yana</v>
      </c>
      <c r="C415" s="7" t="str">
        <f t="shared" si="73"/>
        <v>M</v>
      </c>
      <c r="D415" s="7" t="str">
        <f t="shared" si="71"/>
        <v>U16</v>
      </c>
      <c r="E415" s="2">
        <v>2004</v>
      </c>
      <c r="F415" s="7" t="str">
        <f>"Arts martiaux Budokai inc."</f>
        <v>Arts martiaux Budokai inc.</v>
      </c>
      <c r="G415" s="7" t="str">
        <f t="shared" si="74"/>
        <v>-50kg</v>
      </c>
      <c r="H415" s="7" t="str">
        <f>"0207586"</f>
        <v>0207586</v>
      </c>
      <c r="I415" s="7" t="str">
        <f t="shared" si="76"/>
        <v>QC</v>
      </c>
      <c r="J415" s="7" t="s">
        <v>163</v>
      </c>
      <c r="K415" s="7" t="str">
        <f>""</f>
        <v/>
      </c>
      <c r="L415" s="7" t="str">
        <f>""</f>
        <v/>
      </c>
      <c r="M415" s="7" t="s">
        <v>231</v>
      </c>
    </row>
    <row r="416" spans="1:14" x14ac:dyDescent="0.25">
      <c r="A416" s="7" t="str">
        <f>"Yanis"</f>
        <v>Yanis</v>
      </c>
      <c r="B416" s="7" t="str">
        <f>"Yayaoui"</f>
        <v>Yayaoui</v>
      </c>
      <c r="C416" s="7" t="str">
        <f t="shared" si="73"/>
        <v>M</v>
      </c>
      <c r="D416" s="7" t="str">
        <f t="shared" si="71"/>
        <v>U16</v>
      </c>
      <c r="E416" s="2">
        <v>2005</v>
      </c>
      <c r="F416" s="7" t="str">
        <f>"Arts martiaux Budokai inc."</f>
        <v>Arts martiaux Budokai inc.</v>
      </c>
      <c r="G416" s="7" t="str">
        <f t="shared" si="74"/>
        <v>-50kg</v>
      </c>
      <c r="H416" s="7" t="str">
        <f>"0172266"</f>
        <v>0172266</v>
      </c>
      <c r="I416" s="7" t="str">
        <f t="shared" si="76"/>
        <v>QC</v>
      </c>
      <c r="J416" s="7" t="s">
        <v>174</v>
      </c>
      <c r="K416" s="7" t="str">
        <f>""</f>
        <v/>
      </c>
      <c r="L416" s="7" t="str">
        <f>""</f>
        <v/>
      </c>
      <c r="M416" s="7" t="s">
        <v>231</v>
      </c>
    </row>
    <row r="417" spans="1:14" x14ac:dyDescent="0.25">
      <c r="A417" s="5" t="str">
        <f>"Maxcy"</f>
        <v>Maxcy</v>
      </c>
      <c r="B417" s="5" t="str">
        <f>"Bagland"</f>
        <v>Bagland</v>
      </c>
      <c r="C417" s="5" t="str">
        <f t="shared" si="73"/>
        <v>M</v>
      </c>
      <c r="D417" s="5" t="str">
        <f t="shared" si="71"/>
        <v>U16</v>
      </c>
      <c r="E417" s="2">
        <v>2004</v>
      </c>
      <c r="F417" s="5" t="str">
        <f>"Kiseki Judo"</f>
        <v>Kiseki Judo</v>
      </c>
      <c r="G417" s="5" t="str">
        <f t="shared" ref="G417:G426" si="77">"-55kg"</f>
        <v>-55kg</v>
      </c>
      <c r="H417" s="5" t="str">
        <f>"0225694"</f>
        <v>0225694</v>
      </c>
      <c r="I417" s="5" t="str">
        <f t="shared" si="76"/>
        <v>QC</v>
      </c>
      <c r="J417" s="5" t="s">
        <v>171</v>
      </c>
      <c r="K417" s="5" t="str">
        <f>""</f>
        <v/>
      </c>
      <c r="L417" s="5" t="str">
        <f>""</f>
        <v/>
      </c>
      <c r="M417" s="5" t="s">
        <v>239</v>
      </c>
      <c r="N417" s="5"/>
    </row>
    <row r="418" spans="1:14" x14ac:dyDescent="0.25">
      <c r="A418" s="5" t="str">
        <f>"Sacha"</f>
        <v>Sacha</v>
      </c>
      <c r="B418" s="5" t="str">
        <f>"Castillo St Amand"</f>
        <v>Castillo St Amand</v>
      </c>
      <c r="C418" s="5" t="str">
        <f t="shared" si="73"/>
        <v>M</v>
      </c>
      <c r="D418" s="5" t="str">
        <f t="shared" si="71"/>
        <v>U16</v>
      </c>
      <c r="E418" s="2">
        <v>2004</v>
      </c>
      <c r="F418" s="5" t="str">
        <f>"Club de judo St-Jean Bosco de Hull"</f>
        <v>Club de judo St-Jean Bosco de Hull</v>
      </c>
      <c r="G418" s="5" t="str">
        <f t="shared" si="77"/>
        <v>-55kg</v>
      </c>
      <c r="H418" s="5" t="str">
        <f>"0235238"</f>
        <v>0235238</v>
      </c>
      <c r="I418" s="5" t="str">
        <f t="shared" si="76"/>
        <v>QC</v>
      </c>
      <c r="J418" s="5" t="s">
        <v>171</v>
      </c>
      <c r="K418" s="5" t="str">
        <f>""</f>
        <v/>
      </c>
      <c r="L418" s="5" t="str">
        <f>""</f>
        <v/>
      </c>
      <c r="M418" s="5" t="s">
        <v>239</v>
      </c>
      <c r="N418" s="5"/>
    </row>
    <row r="419" spans="1:14" x14ac:dyDescent="0.25">
      <c r="A419" s="5" t="str">
        <f>"Guillaume"</f>
        <v>Guillaume</v>
      </c>
      <c r="B419" s="5" t="str">
        <f>"Charlebois"</f>
        <v>Charlebois</v>
      </c>
      <c r="C419" s="5" t="str">
        <f t="shared" si="73"/>
        <v>M</v>
      </c>
      <c r="D419" s="5" t="str">
        <f t="shared" si="71"/>
        <v>U16</v>
      </c>
      <c r="E419" s="2">
        <v>2005</v>
      </c>
      <c r="F419" s="5" t="str">
        <f>"Kime-Waza  Joliette"</f>
        <v>Kime-Waza  Joliette</v>
      </c>
      <c r="G419" s="5" t="str">
        <f t="shared" si="77"/>
        <v>-55kg</v>
      </c>
      <c r="H419" s="5" t="str">
        <f>"0217411"</f>
        <v>0217411</v>
      </c>
      <c r="I419" s="5" t="str">
        <f t="shared" si="76"/>
        <v>QC</v>
      </c>
      <c r="J419" s="5" t="s">
        <v>172</v>
      </c>
      <c r="K419" s="5" t="str">
        <f>""</f>
        <v/>
      </c>
      <c r="L419" s="5" t="str">
        <f>""</f>
        <v/>
      </c>
      <c r="M419" s="5" t="s">
        <v>239</v>
      </c>
      <c r="N419" s="5"/>
    </row>
    <row r="420" spans="1:14" x14ac:dyDescent="0.25">
      <c r="A420" s="5" t="str">
        <f>"Mikael"</f>
        <v>Mikael</v>
      </c>
      <c r="B420" s="5" t="str">
        <f>"Lambert-Patenaude"</f>
        <v>Lambert-Patenaude</v>
      </c>
      <c r="C420" s="5" t="str">
        <f t="shared" si="73"/>
        <v>M</v>
      </c>
      <c r="D420" s="5" t="str">
        <f t="shared" si="71"/>
        <v>U16</v>
      </c>
      <c r="E420" s="2">
        <v>2005</v>
      </c>
      <c r="F420" s="5" t="str">
        <f>"Club de judo Torakai"</f>
        <v>Club de judo Torakai</v>
      </c>
      <c r="G420" s="5" t="str">
        <f t="shared" si="77"/>
        <v>-55kg</v>
      </c>
      <c r="H420" s="5" t="str">
        <f>"0199434"</f>
        <v>0199434</v>
      </c>
      <c r="I420" s="5" t="str">
        <f t="shared" si="76"/>
        <v>QC</v>
      </c>
      <c r="J420" s="5" t="s">
        <v>171</v>
      </c>
      <c r="K420" s="5" t="str">
        <f>""</f>
        <v/>
      </c>
      <c r="L420" s="5" t="str">
        <f>""</f>
        <v/>
      </c>
      <c r="M420" s="5" t="s">
        <v>239</v>
      </c>
      <c r="N420" s="5"/>
    </row>
    <row r="421" spans="1:14" x14ac:dyDescent="0.25">
      <c r="A421" s="5" t="str">
        <f>"Cédric"</f>
        <v>Cédric</v>
      </c>
      <c r="B421" s="5" t="str">
        <f>"Mercille"</f>
        <v>Mercille</v>
      </c>
      <c r="C421" s="5" t="str">
        <f t="shared" si="73"/>
        <v>M</v>
      </c>
      <c r="D421" s="5" t="str">
        <f t="shared" si="71"/>
        <v>U16</v>
      </c>
      <c r="E421" s="2">
        <v>2005</v>
      </c>
      <c r="F421" s="5" t="str">
        <f>"Club de Judo Multisports"</f>
        <v>Club de Judo Multisports</v>
      </c>
      <c r="G421" s="5" t="str">
        <f t="shared" si="77"/>
        <v>-55kg</v>
      </c>
      <c r="H421" s="5" t="str">
        <f>"0411617"</f>
        <v>0411617</v>
      </c>
      <c r="I421" s="5" t="str">
        <f t="shared" si="76"/>
        <v>QC</v>
      </c>
      <c r="J421" s="5" t="s">
        <v>165</v>
      </c>
      <c r="K421" s="5" t="str">
        <f>""</f>
        <v/>
      </c>
      <c r="L421" s="5" t="str">
        <f>""</f>
        <v/>
      </c>
      <c r="M421" s="5" t="s">
        <v>239</v>
      </c>
      <c r="N421" s="5"/>
    </row>
    <row r="422" spans="1:14" x14ac:dyDescent="0.25">
      <c r="A422" s="5" t="str">
        <f>"Aghiles"</f>
        <v>Aghiles</v>
      </c>
      <c r="B422" s="5" t="str">
        <f>"Messaoudi"</f>
        <v>Messaoudi</v>
      </c>
      <c r="C422" s="5" t="str">
        <f t="shared" si="73"/>
        <v>M</v>
      </c>
      <c r="D422" s="5" t="str">
        <f t="shared" si="71"/>
        <v>U16</v>
      </c>
      <c r="E422" s="2">
        <v>2005</v>
      </c>
      <c r="F422" s="5" t="str">
        <f>"Club judo St-Leonard"</f>
        <v>Club judo St-Leonard</v>
      </c>
      <c r="G422" s="5" t="str">
        <f t="shared" si="77"/>
        <v>-55kg</v>
      </c>
      <c r="H422" s="5" t="str">
        <f>"0223755"</f>
        <v>0223755</v>
      </c>
      <c r="I422" s="5" t="str">
        <f t="shared" si="76"/>
        <v>QC</v>
      </c>
      <c r="J422" s="5" t="s">
        <v>171</v>
      </c>
      <c r="K422" s="5" t="str">
        <f>""</f>
        <v/>
      </c>
      <c r="L422" s="5" t="str">
        <f>""</f>
        <v/>
      </c>
      <c r="M422" s="5" t="s">
        <v>239</v>
      </c>
      <c r="N422" s="5"/>
    </row>
    <row r="423" spans="1:14" x14ac:dyDescent="0.25">
      <c r="A423" s="5" t="str">
        <f>"Ayman"</f>
        <v>Ayman</v>
      </c>
      <c r="B423" s="5" t="str">
        <f>"Tibary"</f>
        <v>Tibary</v>
      </c>
      <c r="C423" s="5" t="str">
        <f t="shared" si="73"/>
        <v>M</v>
      </c>
      <c r="D423" s="5" t="str">
        <f t="shared" si="71"/>
        <v>U16</v>
      </c>
      <c r="E423" s="2">
        <v>2004</v>
      </c>
      <c r="F423" s="5" t="str">
        <f>"Club de judo Olympique"</f>
        <v>Club de judo Olympique</v>
      </c>
      <c r="G423" s="5" t="str">
        <f t="shared" si="77"/>
        <v>-55kg</v>
      </c>
      <c r="H423" s="5" t="str">
        <f>"0410447"</f>
        <v>0410447</v>
      </c>
      <c r="I423" s="5" t="str">
        <f t="shared" si="76"/>
        <v>QC</v>
      </c>
      <c r="J423" s="5" t="s">
        <v>171</v>
      </c>
      <c r="K423" s="5" t="str">
        <f>""</f>
        <v/>
      </c>
      <c r="L423" s="5" t="str">
        <f>""</f>
        <v/>
      </c>
      <c r="M423" s="5" t="s">
        <v>239</v>
      </c>
      <c r="N423" s="5"/>
    </row>
    <row r="424" spans="1:14" x14ac:dyDescent="0.25">
      <c r="A424" s="6" t="str">
        <f>"Justin"</f>
        <v>Justin</v>
      </c>
      <c r="B424" s="6" t="str">
        <f>"Beaudry"</f>
        <v>Beaudry</v>
      </c>
      <c r="C424" s="6" t="str">
        <f t="shared" si="73"/>
        <v>M</v>
      </c>
      <c r="D424" s="6" t="str">
        <f t="shared" si="71"/>
        <v>U16</v>
      </c>
      <c r="E424" s="2">
        <v>2004</v>
      </c>
      <c r="F424" s="6" t="str">
        <f>"Club de judo Saint-Hyacinthe Inc."</f>
        <v>Club de judo Saint-Hyacinthe Inc.</v>
      </c>
      <c r="G424" s="6" t="str">
        <f t="shared" si="77"/>
        <v>-55kg</v>
      </c>
      <c r="H424" s="6" t="str">
        <f>"0180619"</f>
        <v>0180619</v>
      </c>
      <c r="I424" s="6" t="str">
        <f t="shared" si="76"/>
        <v>QC</v>
      </c>
      <c r="J424" s="6" t="s">
        <v>163</v>
      </c>
      <c r="K424" s="6" t="str">
        <f>""</f>
        <v/>
      </c>
      <c r="L424" s="6" t="str">
        <f>""</f>
        <v/>
      </c>
      <c r="M424" s="6" t="s">
        <v>232</v>
      </c>
    </row>
    <row r="425" spans="1:14" x14ac:dyDescent="0.25">
      <c r="A425" s="6" t="str">
        <f>"Alexis"</f>
        <v>Alexis</v>
      </c>
      <c r="B425" s="6" t="str">
        <f>"Belanger"</f>
        <v>Belanger</v>
      </c>
      <c r="C425" s="6" t="str">
        <f t="shared" si="73"/>
        <v>M</v>
      </c>
      <c r="D425" s="6" t="str">
        <f t="shared" si="71"/>
        <v>U16</v>
      </c>
      <c r="E425" s="2">
        <v>2004</v>
      </c>
      <c r="F425" s="6" t="str">
        <f>"Club de judo Seïkidokan inc."</f>
        <v>Club de judo Seïkidokan inc.</v>
      </c>
      <c r="G425" s="6" t="str">
        <f t="shared" si="77"/>
        <v>-55kg</v>
      </c>
      <c r="H425" s="6" t="str">
        <f>"0189149"</f>
        <v>0189149</v>
      </c>
      <c r="I425" s="6" t="str">
        <f t="shared" si="76"/>
        <v>QC</v>
      </c>
      <c r="J425" s="6" t="s">
        <v>174</v>
      </c>
      <c r="K425" s="6" t="str">
        <f>""</f>
        <v/>
      </c>
      <c r="L425" s="6" t="str">
        <f>""</f>
        <v/>
      </c>
      <c r="M425" s="6" t="s">
        <v>232</v>
      </c>
    </row>
    <row r="426" spans="1:14" x14ac:dyDescent="0.25">
      <c r="A426" s="6" t="str">
        <f>"Omar"</f>
        <v>Omar</v>
      </c>
      <c r="B426" s="6" t="str">
        <f>"Bendjama"</f>
        <v>Bendjama</v>
      </c>
      <c r="C426" s="6" t="str">
        <f t="shared" si="73"/>
        <v>M</v>
      </c>
      <c r="D426" s="6" t="str">
        <f t="shared" si="71"/>
        <v>U16</v>
      </c>
      <c r="E426" s="2">
        <v>2004</v>
      </c>
      <c r="F426" s="6" t="str">
        <f>"Club de judo Torii"</f>
        <v>Club de judo Torii</v>
      </c>
      <c r="G426" s="6" t="str">
        <f t="shared" si="77"/>
        <v>-55kg</v>
      </c>
      <c r="H426" s="6" t="str">
        <f>"0186594"</f>
        <v>0186594</v>
      </c>
      <c r="I426" s="6" t="str">
        <f t="shared" si="76"/>
        <v>QC</v>
      </c>
      <c r="J426" s="6" t="s">
        <v>163</v>
      </c>
      <c r="K426" s="6" t="str">
        <f>""</f>
        <v/>
      </c>
      <c r="L426" s="6" t="str">
        <f>""</f>
        <v/>
      </c>
      <c r="M426" s="6" t="s">
        <v>232</v>
      </c>
    </row>
    <row r="427" spans="1:14" x14ac:dyDescent="0.25">
      <c r="A427" s="6" t="s">
        <v>32</v>
      </c>
      <c r="B427" s="6" t="s">
        <v>33</v>
      </c>
      <c r="C427" s="6" t="s">
        <v>13</v>
      </c>
      <c r="D427" s="6" t="str">
        <f t="shared" ref="D427:D458" si="78">"U16"</f>
        <v>U16</v>
      </c>
      <c r="E427" s="2">
        <v>2004</v>
      </c>
      <c r="F427" s="6" t="s">
        <v>34</v>
      </c>
      <c r="G427" s="6" t="s">
        <v>30</v>
      </c>
      <c r="H427" s="6" t="s">
        <v>35</v>
      </c>
      <c r="I427" s="6" t="s">
        <v>17</v>
      </c>
      <c r="J427" s="6" t="s">
        <v>167</v>
      </c>
      <c r="K427" s="6" t="s">
        <v>10</v>
      </c>
      <c r="L427" s="6" t="s">
        <v>10</v>
      </c>
      <c r="M427" s="6" t="s">
        <v>232</v>
      </c>
    </row>
    <row r="428" spans="1:14" x14ac:dyDescent="0.25">
      <c r="A428" s="6" t="str">
        <f>"Tyler"</f>
        <v>Tyler</v>
      </c>
      <c r="B428" s="6" t="str">
        <f>"D'arterio"</f>
        <v>D'arterio</v>
      </c>
      <c r="C428" s="6" t="str">
        <f>"M"</f>
        <v>M</v>
      </c>
      <c r="D428" s="6" t="str">
        <f t="shared" si="78"/>
        <v>U16</v>
      </c>
      <c r="E428" s="2">
        <v>2004</v>
      </c>
      <c r="F428" s="6" t="str">
        <f>"Dojo Perrot Shima"</f>
        <v>Dojo Perrot Shima</v>
      </c>
      <c r="G428" s="6" t="str">
        <f>"-55kg"</f>
        <v>-55kg</v>
      </c>
      <c r="H428" s="6" t="str">
        <f>"0163862"</f>
        <v>0163862</v>
      </c>
      <c r="I428" s="6" t="str">
        <f>"QC"</f>
        <v>QC</v>
      </c>
      <c r="J428" s="6" t="s">
        <v>167</v>
      </c>
      <c r="K428" s="6" t="str">
        <f>""</f>
        <v/>
      </c>
      <c r="L428" s="6" t="str">
        <f>""</f>
        <v/>
      </c>
      <c r="M428" s="6" t="s">
        <v>232</v>
      </c>
    </row>
    <row r="429" spans="1:14" x14ac:dyDescent="0.25">
      <c r="A429" s="6" t="str">
        <f>"Damien"</f>
        <v>Damien</v>
      </c>
      <c r="B429" s="6" t="str">
        <f>"Follain"</f>
        <v>Follain</v>
      </c>
      <c r="C429" s="6" t="str">
        <f>"M"</f>
        <v>M</v>
      </c>
      <c r="D429" s="6" t="str">
        <f t="shared" si="78"/>
        <v>U16</v>
      </c>
      <c r="E429" s="2">
        <v>2004</v>
      </c>
      <c r="F429" s="6" t="str">
        <f>"Judo Blainville"</f>
        <v>Judo Blainville</v>
      </c>
      <c r="G429" s="6" t="str">
        <f>"-55kg"</f>
        <v>-55kg</v>
      </c>
      <c r="H429" s="6" t="str">
        <f>"0206648"</f>
        <v>0206648</v>
      </c>
      <c r="I429" s="6" t="str">
        <f>"QC"</f>
        <v>QC</v>
      </c>
      <c r="J429" s="6" t="s">
        <v>163</v>
      </c>
      <c r="K429" s="6" t="str">
        <f>""</f>
        <v/>
      </c>
      <c r="L429" s="6" t="str">
        <f>""</f>
        <v/>
      </c>
      <c r="M429" s="6" t="s">
        <v>232</v>
      </c>
    </row>
    <row r="430" spans="1:14" x14ac:dyDescent="0.25">
      <c r="A430" s="6" t="str">
        <f>"Raphael"</f>
        <v>Raphael</v>
      </c>
      <c r="B430" s="6" t="str">
        <f>"Gagnon"</f>
        <v>Gagnon</v>
      </c>
      <c r="C430" s="6" t="str">
        <f>"M"</f>
        <v>M</v>
      </c>
      <c r="D430" s="6" t="str">
        <f t="shared" si="78"/>
        <v>U16</v>
      </c>
      <c r="E430" s="2">
        <v>2004</v>
      </c>
      <c r="F430" s="6" t="str">
        <f>"Club de judo Torakai"</f>
        <v>Club de judo Torakai</v>
      </c>
      <c r="G430" s="6" t="str">
        <f>"-55kg"</f>
        <v>-55kg</v>
      </c>
      <c r="H430" s="6" t="str">
        <f>"0186303"</f>
        <v>0186303</v>
      </c>
      <c r="I430" s="6" t="str">
        <f>"QC"</f>
        <v>QC</v>
      </c>
      <c r="J430" s="6" t="s">
        <v>167</v>
      </c>
      <c r="K430" s="6" t="str">
        <f>""</f>
        <v/>
      </c>
      <c r="L430" s="6" t="str">
        <f>""</f>
        <v/>
      </c>
      <c r="M430" s="6" t="s">
        <v>232</v>
      </c>
    </row>
    <row r="431" spans="1:14" x14ac:dyDescent="0.25">
      <c r="A431" s="6" t="str">
        <f>"Samson"</f>
        <v>Samson</v>
      </c>
      <c r="B431" s="6" t="str">
        <f>"Gill"</f>
        <v>Gill</v>
      </c>
      <c r="C431" s="6" t="str">
        <f>"M"</f>
        <v>M</v>
      </c>
      <c r="D431" s="6" t="str">
        <f t="shared" si="78"/>
        <v>U16</v>
      </c>
      <c r="E431" s="2">
        <v>2006</v>
      </c>
      <c r="F431" s="6" t="str">
        <f>"Club de judo Métropolitain inc."</f>
        <v>Club de judo Métropolitain inc.</v>
      </c>
      <c r="G431" s="6" t="str">
        <f>"-55kg"</f>
        <v>-55kg</v>
      </c>
      <c r="H431" s="6" t="str">
        <f>"0213818"</f>
        <v>0213818</v>
      </c>
      <c r="I431" s="6" t="str">
        <f>"QC"</f>
        <v>QC</v>
      </c>
      <c r="J431" s="6" t="s">
        <v>174</v>
      </c>
      <c r="K431" s="6" t="str">
        <f>""</f>
        <v/>
      </c>
      <c r="L431" s="4" t="s">
        <v>263</v>
      </c>
      <c r="M431" s="6" t="s">
        <v>232</v>
      </c>
    </row>
    <row r="432" spans="1:14" x14ac:dyDescent="0.25">
      <c r="A432" s="6" t="str">
        <f>"Jérémy"</f>
        <v>Jérémy</v>
      </c>
      <c r="B432" s="6" t="str">
        <f>"Grenier"</f>
        <v>Grenier</v>
      </c>
      <c r="C432" s="6" t="str">
        <f>"M"</f>
        <v>M</v>
      </c>
      <c r="D432" s="6" t="str">
        <f t="shared" si="78"/>
        <v>U16</v>
      </c>
      <c r="E432" s="2">
        <v>2004</v>
      </c>
      <c r="F432" s="6" t="str">
        <f>"Judo Ju Shin Kan Laterrière"</f>
        <v>Judo Ju Shin Kan Laterrière</v>
      </c>
      <c r="G432" s="6" t="str">
        <f>"-55kg"</f>
        <v>-55kg</v>
      </c>
      <c r="H432" s="6" t="str">
        <f>"0162609"</f>
        <v>0162609</v>
      </c>
      <c r="I432" s="6" t="str">
        <f>"QC"</f>
        <v>QC</v>
      </c>
      <c r="J432" s="6" t="s">
        <v>167</v>
      </c>
      <c r="K432" s="6" t="str">
        <f>""</f>
        <v/>
      </c>
      <c r="L432" s="6" t="str">
        <f>""</f>
        <v/>
      </c>
      <c r="M432" s="6" t="s">
        <v>232</v>
      </c>
    </row>
    <row r="433" spans="1:14" x14ac:dyDescent="0.25">
      <c r="A433" s="6" t="s">
        <v>76</v>
      </c>
      <c r="B433" s="6" t="s">
        <v>77</v>
      </c>
      <c r="C433" s="6" t="s">
        <v>13</v>
      </c>
      <c r="D433" s="6" t="str">
        <f t="shared" si="78"/>
        <v>U16</v>
      </c>
      <c r="E433" s="2">
        <v>2004</v>
      </c>
      <c r="F433" s="6" t="s">
        <v>78</v>
      </c>
      <c r="G433" s="6" t="s">
        <v>30</v>
      </c>
      <c r="H433" s="6" t="s">
        <v>79</v>
      </c>
      <c r="I433" s="6" t="s">
        <v>17</v>
      </c>
      <c r="J433" s="6" t="s">
        <v>164</v>
      </c>
      <c r="K433" s="6" t="s">
        <v>10</v>
      </c>
      <c r="L433" s="6" t="s">
        <v>10</v>
      </c>
      <c r="M433" s="6" t="s">
        <v>232</v>
      </c>
    </row>
    <row r="434" spans="1:14" x14ac:dyDescent="0.25">
      <c r="A434" s="6" t="str">
        <f>"Loïc"</f>
        <v>Loïc</v>
      </c>
      <c r="B434" s="6" t="str">
        <f>"Guillevic"</f>
        <v>Guillevic</v>
      </c>
      <c r="C434" s="6" t="str">
        <f t="shared" ref="C434:C440" si="79">"M"</f>
        <v>M</v>
      </c>
      <c r="D434" s="6" t="str">
        <f t="shared" si="78"/>
        <v>U16</v>
      </c>
      <c r="E434" s="2">
        <v>2005</v>
      </c>
      <c r="F434" s="6" t="str">
        <f>"Club de judo Stanislas"</f>
        <v>Club de judo Stanislas</v>
      </c>
      <c r="G434" s="6" t="str">
        <f t="shared" ref="G434:G440" si="80">"-55kg"</f>
        <v>-55kg</v>
      </c>
      <c r="H434" s="6" t="str">
        <f>"0176417"</f>
        <v>0176417</v>
      </c>
      <c r="I434" s="6" t="str">
        <f t="shared" ref="I434:I440" si="81">"QC"</f>
        <v>QC</v>
      </c>
      <c r="J434" s="6" t="s">
        <v>175</v>
      </c>
      <c r="K434" s="6" t="str">
        <f>""</f>
        <v/>
      </c>
      <c r="L434" s="6" t="str">
        <f>""</f>
        <v/>
      </c>
      <c r="M434" s="6" t="s">
        <v>232</v>
      </c>
    </row>
    <row r="435" spans="1:14" x14ac:dyDescent="0.25">
      <c r="A435" s="6" t="str">
        <f>"Wassim"</f>
        <v>Wassim</v>
      </c>
      <c r="B435" s="6" t="str">
        <f>"Issaad"</f>
        <v>Issaad</v>
      </c>
      <c r="C435" s="6" t="str">
        <f t="shared" si="79"/>
        <v>M</v>
      </c>
      <c r="D435" s="6" t="str">
        <f t="shared" si="78"/>
        <v>U16</v>
      </c>
      <c r="E435" s="2">
        <v>2004</v>
      </c>
      <c r="F435" s="6" t="str">
        <f>"Club de judo Métropolitain inc."</f>
        <v>Club de judo Métropolitain inc.</v>
      </c>
      <c r="G435" s="6" t="str">
        <f t="shared" si="80"/>
        <v>-55kg</v>
      </c>
      <c r="H435" s="6" t="str">
        <f>"0183045"</f>
        <v>0183045</v>
      </c>
      <c r="I435" s="6" t="str">
        <f t="shared" si="81"/>
        <v>QC</v>
      </c>
      <c r="J435" s="6" t="s">
        <v>163</v>
      </c>
      <c r="K435" s="6" t="str">
        <f>""</f>
        <v/>
      </c>
      <c r="L435" s="6" t="str">
        <f>""</f>
        <v/>
      </c>
      <c r="M435" s="6" t="s">
        <v>232</v>
      </c>
    </row>
    <row r="436" spans="1:14" x14ac:dyDescent="0.25">
      <c r="A436" s="6" t="str">
        <f>"Anthony"</f>
        <v>Anthony</v>
      </c>
      <c r="B436" s="6" t="str">
        <f>"Martel"</f>
        <v>Martel</v>
      </c>
      <c r="C436" s="6" t="str">
        <f t="shared" si="79"/>
        <v>M</v>
      </c>
      <c r="D436" s="6" t="str">
        <f t="shared" si="78"/>
        <v>U16</v>
      </c>
      <c r="E436" s="2">
        <v>2005</v>
      </c>
      <c r="F436" s="6" t="str">
        <f>"Club de judo To Haku kan inc."</f>
        <v>Club de judo To Haku kan inc.</v>
      </c>
      <c r="G436" s="6" t="str">
        <f t="shared" si="80"/>
        <v>-55kg</v>
      </c>
      <c r="H436" s="6" t="str">
        <f>"0182992"</f>
        <v>0182992</v>
      </c>
      <c r="I436" s="6" t="str">
        <f t="shared" si="81"/>
        <v>QC</v>
      </c>
      <c r="J436" s="6" t="s">
        <v>163</v>
      </c>
      <c r="K436" s="6" t="str">
        <f>""</f>
        <v/>
      </c>
      <c r="L436" s="6" t="str">
        <f>""</f>
        <v/>
      </c>
      <c r="M436" s="6" t="s">
        <v>232</v>
      </c>
    </row>
    <row r="437" spans="1:14" x14ac:dyDescent="0.25">
      <c r="A437" s="6" t="str">
        <f>"Cohen"</f>
        <v>Cohen</v>
      </c>
      <c r="B437" s="6" t="str">
        <f>"McEwen"</f>
        <v>McEwen</v>
      </c>
      <c r="C437" s="6" t="str">
        <f t="shared" si="79"/>
        <v>M</v>
      </c>
      <c r="D437" s="6" t="str">
        <f t="shared" si="78"/>
        <v>U16</v>
      </c>
      <c r="E437" s="2">
        <v>2004</v>
      </c>
      <c r="F437" s="6" t="str">
        <f>"Bushidokan"</f>
        <v>Bushidokan</v>
      </c>
      <c r="G437" s="6" t="str">
        <f t="shared" si="80"/>
        <v>-55kg</v>
      </c>
      <c r="H437" s="6" t="str">
        <f>"0183117"</f>
        <v>0183117</v>
      </c>
      <c r="I437" s="6" t="str">
        <f t="shared" si="81"/>
        <v>QC</v>
      </c>
      <c r="J437" s="6" t="s">
        <v>167</v>
      </c>
      <c r="K437" s="6" t="str">
        <f>""</f>
        <v/>
      </c>
      <c r="L437" s="6" t="str">
        <f>""</f>
        <v/>
      </c>
      <c r="M437" s="6" t="s">
        <v>232</v>
      </c>
    </row>
    <row r="438" spans="1:14" x14ac:dyDescent="0.25">
      <c r="A438" s="6" t="str">
        <f>"Laurent"</f>
        <v>Laurent</v>
      </c>
      <c r="B438" s="6" t="str">
        <f>"Plamondon"</f>
        <v>Plamondon</v>
      </c>
      <c r="C438" s="6" t="str">
        <f t="shared" si="79"/>
        <v>M</v>
      </c>
      <c r="D438" s="6" t="str">
        <f t="shared" si="78"/>
        <v>U16</v>
      </c>
      <c r="E438" s="2">
        <v>2004</v>
      </c>
      <c r="F438" s="6" t="str">
        <f>"Judo Blainville"</f>
        <v>Judo Blainville</v>
      </c>
      <c r="G438" s="6" t="str">
        <f t="shared" si="80"/>
        <v>-55kg</v>
      </c>
      <c r="H438" s="6" t="str">
        <f>"0162568"</f>
        <v>0162568</v>
      </c>
      <c r="I438" s="6" t="str">
        <f t="shared" si="81"/>
        <v>QC</v>
      </c>
      <c r="J438" s="6" t="s">
        <v>163</v>
      </c>
      <c r="K438" s="6" t="str">
        <f>""</f>
        <v/>
      </c>
      <c r="L438" s="6" t="str">
        <f>""</f>
        <v/>
      </c>
      <c r="M438" s="6" t="s">
        <v>232</v>
      </c>
    </row>
    <row r="439" spans="1:14" x14ac:dyDescent="0.25">
      <c r="A439" s="6" t="str">
        <f>"Laurent"</f>
        <v>Laurent</v>
      </c>
      <c r="B439" s="6" t="str">
        <f>"Quiedeville"</f>
        <v>Quiedeville</v>
      </c>
      <c r="C439" s="6" t="str">
        <f t="shared" si="79"/>
        <v>M</v>
      </c>
      <c r="D439" s="6" t="str">
        <f t="shared" si="78"/>
        <v>U16</v>
      </c>
      <c r="E439" s="2">
        <v>2005</v>
      </c>
      <c r="F439" s="6" t="str">
        <f>"Club de judo de la vieille capitale"</f>
        <v>Club de judo de la vieille capitale</v>
      </c>
      <c r="G439" s="6" t="str">
        <f t="shared" si="80"/>
        <v>-55kg</v>
      </c>
      <c r="H439" s="6" t="str">
        <f>"0223465"</f>
        <v>0223465</v>
      </c>
      <c r="I439" s="6" t="str">
        <f t="shared" si="81"/>
        <v>QC</v>
      </c>
      <c r="J439" s="6" t="s">
        <v>164</v>
      </c>
      <c r="K439" s="6" t="str">
        <f>""</f>
        <v/>
      </c>
      <c r="L439" s="6" t="str">
        <f>""</f>
        <v/>
      </c>
      <c r="M439" s="6" t="s">
        <v>232</v>
      </c>
    </row>
    <row r="440" spans="1:14" x14ac:dyDescent="0.25">
      <c r="A440" s="6" t="str">
        <f>"Genedi"</f>
        <v>Genedi</v>
      </c>
      <c r="B440" s="6" t="str">
        <f>"Safaneyen"</f>
        <v>Safaneyen</v>
      </c>
      <c r="C440" s="6" t="str">
        <f t="shared" si="79"/>
        <v>M</v>
      </c>
      <c r="D440" s="6" t="str">
        <f t="shared" si="78"/>
        <v>U16</v>
      </c>
      <c r="E440" s="2">
        <v>2004</v>
      </c>
      <c r="F440" s="6" t="str">
        <f>"Club de judo Shidokan inc."</f>
        <v>Club de judo Shidokan inc.</v>
      </c>
      <c r="G440" s="6" t="str">
        <f t="shared" si="80"/>
        <v>-55kg</v>
      </c>
      <c r="H440" s="6" t="str">
        <f>"0169970"</f>
        <v>0169970</v>
      </c>
      <c r="I440" s="6" t="str">
        <f t="shared" si="81"/>
        <v>QC</v>
      </c>
      <c r="J440" s="6" t="s">
        <v>164</v>
      </c>
      <c r="K440" s="6" t="str">
        <f>""</f>
        <v/>
      </c>
      <c r="L440" s="6" t="str">
        <f>""</f>
        <v/>
      </c>
      <c r="M440" s="6" t="s">
        <v>232</v>
      </c>
    </row>
    <row r="441" spans="1:14" x14ac:dyDescent="0.25">
      <c r="A441" s="6" t="s">
        <v>43</v>
      </c>
      <c r="B441" s="6" t="s">
        <v>44</v>
      </c>
      <c r="C441" s="6" t="s">
        <v>13</v>
      </c>
      <c r="D441" s="6" t="str">
        <f t="shared" si="78"/>
        <v>U16</v>
      </c>
      <c r="E441" s="2">
        <v>2004</v>
      </c>
      <c r="F441" s="6" t="s">
        <v>14</v>
      </c>
      <c r="G441" s="6" t="s">
        <v>30</v>
      </c>
      <c r="H441" s="6" t="s">
        <v>45</v>
      </c>
      <c r="I441" s="6" t="s">
        <v>17</v>
      </c>
      <c r="J441" s="6" t="s">
        <v>167</v>
      </c>
      <c r="K441" s="6" t="s">
        <v>10</v>
      </c>
      <c r="L441" s="6" t="s">
        <v>10</v>
      </c>
      <c r="M441" s="6" t="s">
        <v>232</v>
      </c>
    </row>
    <row r="442" spans="1:14" x14ac:dyDescent="0.25">
      <c r="A442" s="6" t="str">
        <f>"Alex"</f>
        <v>Alex</v>
      </c>
      <c r="B442" s="6" t="str">
        <f>"Yorston"</f>
        <v>Yorston</v>
      </c>
      <c r="C442" s="6" t="str">
        <f t="shared" ref="C442:C451" si="82">"M"</f>
        <v>M</v>
      </c>
      <c r="D442" s="6" t="str">
        <f t="shared" si="78"/>
        <v>U16</v>
      </c>
      <c r="E442" s="2">
        <v>2005</v>
      </c>
      <c r="F442" s="6" t="str">
        <f>"Club de Judo du Lycée Claudel Judo Club"</f>
        <v>Club de Judo du Lycée Claudel Judo Club</v>
      </c>
      <c r="G442" s="6" t="str">
        <f>"-55kg"</f>
        <v>-55kg</v>
      </c>
      <c r="H442" s="6" t="str">
        <f>"0214185"</f>
        <v>0214185</v>
      </c>
      <c r="I442" s="6" t="str">
        <f>"ON"</f>
        <v>ON</v>
      </c>
      <c r="J442" s="6" t="s">
        <v>174</v>
      </c>
      <c r="K442" s="6" t="str">
        <f>""</f>
        <v/>
      </c>
      <c r="L442" s="6" t="str">
        <f>""</f>
        <v/>
      </c>
      <c r="M442" s="6" t="s">
        <v>232</v>
      </c>
    </row>
    <row r="443" spans="1:14" x14ac:dyDescent="0.25">
      <c r="A443" s="6" t="str">
        <f>"Leon"</f>
        <v>Leon</v>
      </c>
      <c r="B443" s="6" t="str">
        <f>"Zakaryan"</f>
        <v>Zakaryan</v>
      </c>
      <c r="C443" s="6" t="str">
        <f t="shared" si="82"/>
        <v>M</v>
      </c>
      <c r="D443" s="6" t="str">
        <f t="shared" si="78"/>
        <v>U16</v>
      </c>
      <c r="E443" s="2">
        <v>2004</v>
      </c>
      <c r="F443" s="6" t="str">
        <f>"Club de judo Shidokan inc."</f>
        <v>Club de judo Shidokan inc.</v>
      </c>
      <c r="G443" s="6" t="str">
        <f>"-55kg"</f>
        <v>-55kg</v>
      </c>
      <c r="H443" s="6" t="str">
        <f>"0222711"</f>
        <v>0222711</v>
      </c>
      <c r="I443" s="6" t="str">
        <f t="shared" ref="I443:I451" si="83">"QC"</f>
        <v>QC</v>
      </c>
      <c r="J443" s="6" t="s">
        <v>163</v>
      </c>
      <c r="K443" s="6" t="str">
        <f>""</f>
        <v/>
      </c>
      <c r="L443" s="6" t="str">
        <f>""</f>
        <v/>
      </c>
      <c r="M443" s="6" t="s">
        <v>232</v>
      </c>
    </row>
    <row r="444" spans="1:14" x14ac:dyDescent="0.25">
      <c r="A444" s="6" t="str">
        <f>"Ghilas"</f>
        <v>Ghilas</v>
      </c>
      <c r="B444" s="6" t="str">
        <f>"Zennouche"</f>
        <v>Zennouche</v>
      </c>
      <c r="C444" s="6" t="str">
        <f t="shared" si="82"/>
        <v>M</v>
      </c>
      <c r="D444" s="6" t="str">
        <f t="shared" si="78"/>
        <v>U16</v>
      </c>
      <c r="E444" s="2">
        <v>2005</v>
      </c>
      <c r="F444" s="6" t="str">
        <f>"Club de judo Olympique"</f>
        <v>Club de judo Olympique</v>
      </c>
      <c r="G444" s="6" t="str">
        <f>"-55kg"</f>
        <v>-55kg</v>
      </c>
      <c r="H444" s="6" t="str">
        <f>"0165631"</f>
        <v>0165631</v>
      </c>
      <c r="I444" s="6" t="str">
        <f t="shared" si="83"/>
        <v>QC</v>
      </c>
      <c r="J444" s="6" t="s">
        <v>163</v>
      </c>
      <c r="K444" s="6" t="str">
        <f>""</f>
        <v/>
      </c>
      <c r="L444" s="6" t="str">
        <f>""</f>
        <v/>
      </c>
      <c r="M444" s="6" t="s">
        <v>232</v>
      </c>
    </row>
    <row r="445" spans="1:14" x14ac:dyDescent="0.25">
      <c r="A445" s="1" t="str">
        <f>"Nathan"</f>
        <v>Nathan</v>
      </c>
      <c r="B445" s="1" t="str">
        <f>"Fortin"</f>
        <v>Fortin</v>
      </c>
      <c r="C445" s="1" t="str">
        <f t="shared" si="82"/>
        <v>M</v>
      </c>
      <c r="D445" s="1" t="str">
        <f t="shared" si="78"/>
        <v>U16</v>
      </c>
      <c r="E445" s="2">
        <v>2005</v>
      </c>
      <c r="F445" s="1" t="str">
        <f>"Club de judo Torakai"</f>
        <v>Club de judo Torakai</v>
      </c>
      <c r="G445" s="1" t="str">
        <f t="shared" ref="G445:G451" si="84">"-60kg"</f>
        <v>-60kg</v>
      </c>
      <c r="H445" s="1" t="str">
        <f>"0207522"</f>
        <v>0207522</v>
      </c>
      <c r="I445" s="1" t="str">
        <f t="shared" si="83"/>
        <v>QC</v>
      </c>
      <c r="J445" s="1" t="s">
        <v>171</v>
      </c>
      <c r="K445" s="1" t="str">
        <f>""</f>
        <v/>
      </c>
      <c r="L445" s="1" t="str">
        <f>""</f>
        <v/>
      </c>
      <c r="M445" s="1" t="s">
        <v>242</v>
      </c>
      <c r="N445" s="1"/>
    </row>
    <row r="446" spans="1:14" x14ac:dyDescent="0.25">
      <c r="A446" s="1" t="s">
        <v>159</v>
      </c>
      <c r="B446" s="1" t="s">
        <v>160</v>
      </c>
      <c r="C446" s="1" t="str">
        <f t="shared" si="82"/>
        <v>M</v>
      </c>
      <c r="D446" s="1" t="str">
        <f t="shared" si="78"/>
        <v>U16</v>
      </c>
      <c r="E446" s="2">
        <v>2005</v>
      </c>
      <c r="F446" s="1" t="s">
        <v>161</v>
      </c>
      <c r="G446" s="1" t="str">
        <f t="shared" si="84"/>
        <v>-60kg</v>
      </c>
      <c r="H446" s="1">
        <v>412008</v>
      </c>
      <c r="I446" s="1" t="str">
        <f t="shared" si="83"/>
        <v>QC</v>
      </c>
      <c r="J446" s="1" t="s">
        <v>165</v>
      </c>
      <c r="K446" s="1" t="str">
        <f>""</f>
        <v/>
      </c>
      <c r="L446" s="1" t="str">
        <f>""</f>
        <v/>
      </c>
      <c r="M446" s="1" t="s">
        <v>242</v>
      </c>
      <c r="N446" s="1"/>
    </row>
    <row r="447" spans="1:14" x14ac:dyDescent="0.25">
      <c r="A447" s="1" t="str">
        <f>"Gabriel"</f>
        <v>Gabriel</v>
      </c>
      <c r="B447" s="1" t="str">
        <f>"Gonzalez-Hashem"</f>
        <v>Gonzalez-Hashem</v>
      </c>
      <c r="C447" s="1" t="str">
        <f t="shared" si="82"/>
        <v>M</v>
      </c>
      <c r="D447" s="1" t="str">
        <f t="shared" si="78"/>
        <v>U16</v>
      </c>
      <c r="E447" s="2">
        <v>2004</v>
      </c>
      <c r="F447" s="1" t="str">
        <f>"Club de judo Verdun"</f>
        <v>Club de judo Verdun</v>
      </c>
      <c r="G447" s="1" t="str">
        <f t="shared" si="84"/>
        <v>-60kg</v>
      </c>
      <c r="H447" s="1" t="str">
        <f>"0216905"</f>
        <v>0216905</v>
      </c>
      <c r="I447" s="1" t="str">
        <f t="shared" si="83"/>
        <v>QC</v>
      </c>
      <c r="J447" s="1" t="s">
        <v>171</v>
      </c>
      <c r="K447" s="1" t="str">
        <f>""</f>
        <v/>
      </c>
      <c r="L447" s="1" t="str">
        <f>""</f>
        <v/>
      </c>
      <c r="M447" s="1" t="s">
        <v>242</v>
      </c>
      <c r="N447" s="1"/>
    </row>
    <row r="448" spans="1:14" x14ac:dyDescent="0.25">
      <c r="A448" s="7" t="str">
        <f>"Yanis"</f>
        <v>Yanis</v>
      </c>
      <c r="B448" s="7" t="str">
        <f>"Amrouci"</f>
        <v>Amrouci</v>
      </c>
      <c r="C448" s="7" t="str">
        <f t="shared" si="82"/>
        <v>M</v>
      </c>
      <c r="D448" s="7" t="str">
        <f t="shared" si="78"/>
        <v>U16</v>
      </c>
      <c r="E448" s="2">
        <v>2005</v>
      </c>
      <c r="F448" s="7" t="str">
        <f>"Club de judo Métropolitain inc."</f>
        <v>Club de judo Métropolitain inc.</v>
      </c>
      <c r="G448" s="7" t="str">
        <f t="shared" si="84"/>
        <v>-60kg</v>
      </c>
      <c r="H448" s="7" t="str">
        <f>"0191629"</f>
        <v>0191629</v>
      </c>
      <c r="I448" s="7" t="str">
        <f t="shared" si="83"/>
        <v>QC</v>
      </c>
      <c r="J448" s="7" t="s">
        <v>163</v>
      </c>
      <c r="K448" s="7" t="str">
        <f>""</f>
        <v/>
      </c>
      <c r="L448" s="7" t="str">
        <f>""</f>
        <v/>
      </c>
      <c r="M448" s="7" t="s">
        <v>233</v>
      </c>
    </row>
    <row r="449" spans="1:13" x14ac:dyDescent="0.25">
      <c r="A449" s="7" t="str">
        <f>"Guillaume"</f>
        <v>Guillaume</v>
      </c>
      <c r="B449" s="7" t="str">
        <f>"Auclair"</f>
        <v>Auclair</v>
      </c>
      <c r="C449" s="7" t="str">
        <f t="shared" si="82"/>
        <v>M</v>
      </c>
      <c r="D449" s="7" t="str">
        <f t="shared" si="78"/>
        <v>U16</v>
      </c>
      <c r="E449" s="2">
        <v>2004</v>
      </c>
      <c r="F449" s="7" t="str">
        <f>"Club de judo Torakai"</f>
        <v>Club de judo Torakai</v>
      </c>
      <c r="G449" s="7" t="str">
        <f t="shared" si="84"/>
        <v>-60kg</v>
      </c>
      <c r="H449" s="7" t="str">
        <f>"0199411"</f>
        <v>0199411</v>
      </c>
      <c r="I449" s="7" t="str">
        <f t="shared" si="83"/>
        <v>QC</v>
      </c>
      <c r="J449" s="7" t="s">
        <v>167</v>
      </c>
      <c r="K449" s="7" t="str">
        <f>""</f>
        <v/>
      </c>
      <c r="L449" s="7" t="str">
        <f>""</f>
        <v/>
      </c>
      <c r="M449" s="7" t="s">
        <v>233</v>
      </c>
    </row>
    <row r="450" spans="1:13" x14ac:dyDescent="0.25">
      <c r="A450" s="7" t="str">
        <f>"Augustin"</f>
        <v>Augustin</v>
      </c>
      <c r="B450" s="7" t="str">
        <f>"Benoit-Gonin"</f>
        <v>Benoit-Gonin</v>
      </c>
      <c r="C450" s="7" t="str">
        <f t="shared" si="82"/>
        <v>M</v>
      </c>
      <c r="D450" s="7" t="str">
        <f t="shared" si="78"/>
        <v>U16</v>
      </c>
      <c r="E450" s="2">
        <v>2004</v>
      </c>
      <c r="F450" s="7" t="str">
        <f>"Académie de judo de Saint-Sauveur"</f>
        <v>Académie de judo de Saint-Sauveur</v>
      </c>
      <c r="G450" s="7" t="str">
        <f t="shared" si="84"/>
        <v>-60kg</v>
      </c>
      <c r="H450" s="7" t="str">
        <f>"0200372"</f>
        <v>0200372</v>
      </c>
      <c r="I450" s="7" t="str">
        <f t="shared" si="83"/>
        <v>QC</v>
      </c>
      <c r="J450" s="7" t="s">
        <v>163</v>
      </c>
      <c r="K450" s="7" t="str">
        <f>""</f>
        <v/>
      </c>
      <c r="L450" s="7" t="str">
        <f>""</f>
        <v/>
      </c>
      <c r="M450" s="7" t="s">
        <v>233</v>
      </c>
    </row>
    <row r="451" spans="1:13" x14ac:dyDescent="0.25">
      <c r="A451" s="7" t="str">
        <f>"Charles-Etienne"</f>
        <v>Charles-Etienne</v>
      </c>
      <c r="B451" s="7" t="str">
        <f>"Boulianne"</f>
        <v>Boulianne</v>
      </c>
      <c r="C451" s="7" t="str">
        <f t="shared" si="82"/>
        <v>M</v>
      </c>
      <c r="D451" s="7" t="str">
        <f t="shared" si="78"/>
        <v>U16</v>
      </c>
      <c r="E451" s="2">
        <v>2005</v>
      </c>
      <c r="F451" s="7" t="str">
        <f>"Club de judo Albatros Inc."</f>
        <v>Club de judo Albatros Inc.</v>
      </c>
      <c r="G451" s="7" t="str">
        <f t="shared" si="84"/>
        <v>-60kg</v>
      </c>
      <c r="H451" s="7" t="str">
        <f>"0181068"</f>
        <v>0181068</v>
      </c>
      <c r="I451" s="7" t="str">
        <f t="shared" si="83"/>
        <v>QC</v>
      </c>
      <c r="J451" s="7" t="s">
        <v>163</v>
      </c>
      <c r="K451" s="7" t="str">
        <f>""</f>
        <v/>
      </c>
      <c r="L451" s="7" t="str">
        <f>""</f>
        <v/>
      </c>
      <c r="M451" s="7" t="s">
        <v>233</v>
      </c>
    </row>
    <row r="452" spans="1:13" x14ac:dyDescent="0.25">
      <c r="A452" s="7" t="s">
        <v>80</v>
      </c>
      <c r="B452" s="7" t="s">
        <v>81</v>
      </c>
      <c r="C452" s="7" t="s">
        <v>13</v>
      </c>
      <c r="D452" s="7" t="str">
        <f t="shared" si="78"/>
        <v>U16</v>
      </c>
      <c r="E452" s="2">
        <v>2004</v>
      </c>
      <c r="F452" s="7" t="s">
        <v>78</v>
      </c>
      <c r="G452" s="7" t="s">
        <v>21</v>
      </c>
      <c r="H452" s="7" t="s">
        <v>82</v>
      </c>
      <c r="I452" s="7" t="s">
        <v>17</v>
      </c>
      <c r="J452" s="7" t="s">
        <v>167</v>
      </c>
      <c r="K452" s="7" t="s">
        <v>10</v>
      </c>
      <c r="L452" s="7" t="s">
        <v>10</v>
      </c>
      <c r="M452" s="7" t="s">
        <v>233</v>
      </c>
    </row>
    <row r="453" spans="1:13" x14ac:dyDescent="0.25">
      <c r="A453" s="7" t="str">
        <f>"Malek"</f>
        <v>Malek</v>
      </c>
      <c r="B453" s="7" t="str">
        <f>"Houle"</f>
        <v>Houle</v>
      </c>
      <c r="C453" s="7" t="str">
        <f>"M"</f>
        <v>M</v>
      </c>
      <c r="D453" s="7" t="str">
        <f t="shared" si="78"/>
        <v>U16</v>
      </c>
      <c r="E453" s="2">
        <v>2004</v>
      </c>
      <c r="F453" s="7" t="str">
        <f>"Judo Drummondville"</f>
        <v>Judo Drummondville</v>
      </c>
      <c r="G453" s="7" t="str">
        <f>"-60kg"</f>
        <v>-60kg</v>
      </c>
      <c r="H453" s="7" t="str">
        <f>"0211108"</f>
        <v>0211108</v>
      </c>
      <c r="I453" s="7" t="str">
        <f>"QC"</f>
        <v>QC</v>
      </c>
      <c r="J453" s="7" t="s">
        <v>163</v>
      </c>
      <c r="K453" s="7" t="str">
        <f>""</f>
        <v/>
      </c>
      <c r="L453" s="7" t="str">
        <f>""</f>
        <v/>
      </c>
      <c r="M453" s="7" t="s">
        <v>233</v>
      </c>
    </row>
    <row r="454" spans="1:13" x14ac:dyDescent="0.25">
      <c r="A454" s="7" t="str">
        <f>"Collin"</f>
        <v>Collin</v>
      </c>
      <c r="B454" s="7" t="str">
        <f>"Jutras"</f>
        <v>Jutras</v>
      </c>
      <c r="C454" s="7" t="str">
        <f>"M"</f>
        <v>M</v>
      </c>
      <c r="D454" s="7" t="str">
        <f t="shared" si="78"/>
        <v>U16</v>
      </c>
      <c r="E454" s="2">
        <v>2005</v>
      </c>
      <c r="F454" s="7" t="str">
        <f>"Club de judo Vallée du Richelieu"</f>
        <v>Club de judo Vallée du Richelieu</v>
      </c>
      <c r="G454" s="7" t="str">
        <f>"-60kg"</f>
        <v>-60kg</v>
      </c>
      <c r="H454" s="7" t="str">
        <f>"0196826"</f>
        <v>0196826</v>
      </c>
      <c r="I454" s="7" t="str">
        <f>"QC"</f>
        <v>QC</v>
      </c>
      <c r="J454" s="7" t="s">
        <v>174</v>
      </c>
      <c r="K454" s="7" t="str">
        <f>""</f>
        <v/>
      </c>
      <c r="L454" s="7" t="str">
        <f>""</f>
        <v/>
      </c>
      <c r="M454" s="7" t="s">
        <v>233</v>
      </c>
    </row>
    <row r="455" spans="1:13" x14ac:dyDescent="0.25">
      <c r="A455" s="7" t="s">
        <v>23</v>
      </c>
      <c r="B455" s="7" t="s">
        <v>24</v>
      </c>
      <c r="C455" s="7" t="s">
        <v>13</v>
      </c>
      <c r="D455" s="7" t="str">
        <f t="shared" si="78"/>
        <v>U16</v>
      </c>
      <c r="E455" s="2">
        <v>2004</v>
      </c>
      <c r="F455" s="7" t="s">
        <v>25</v>
      </c>
      <c r="G455" s="7" t="s">
        <v>21</v>
      </c>
      <c r="H455" s="7" t="s">
        <v>26</v>
      </c>
      <c r="I455" s="7" t="s">
        <v>17</v>
      </c>
      <c r="J455" s="7" t="s">
        <v>167</v>
      </c>
      <c r="K455" s="7" t="s">
        <v>10</v>
      </c>
      <c r="L455" s="7" t="s">
        <v>10</v>
      </c>
      <c r="M455" s="7" t="s">
        <v>233</v>
      </c>
    </row>
    <row r="456" spans="1:13" x14ac:dyDescent="0.25">
      <c r="A456" s="7" t="str">
        <f>"Noah"</f>
        <v>Noah</v>
      </c>
      <c r="B456" s="7" t="str">
        <f>"Moorjani-Houle"</f>
        <v>Moorjani-Houle</v>
      </c>
      <c r="C456" s="7" t="str">
        <f t="shared" ref="C456:C474" si="85">"M"</f>
        <v>M</v>
      </c>
      <c r="D456" s="7" t="str">
        <f t="shared" si="78"/>
        <v>U16</v>
      </c>
      <c r="E456" s="2">
        <v>2004</v>
      </c>
      <c r="F456" s="7" t="str">
        <f>"Club de judo St-Jean Bosco de Hull"</f>
        <v>Club de judo St-Jean Bosco de Hull</v>
      </c>
      <c r="G456" s="7" t="str">
        <f t="shared" ref="G456:G467" si="86">"-60kg"</f>
        <v>-60kg</v>
      </c>
      <c r="H456" s="7" t="str">
        <f>"0152630"</f>
        <v>0152630</v>
      </c>
      <c r="I456" s="7" t="str">
        <f t="shared" ref="I456:I474" si="87">"QC"</f>
        <v>QC</v>
      </c>
      <c r="J456" s="7" t="s">
        <v>163</v>
      </c>
      <c r="K456" s="7" t="str">
        <f>""</f>
        <v/>
      </c>
      <c r="L456" s="7" t="str">
        <f>""</f>
        <v/>
      </c>
      <c r="M456" s="7" t="s">
        <v>233</v>
      </c>
    </row>
    <row r="457" spans="1:13" x14ac:dyDescent="0.25">
      <c r="A457" s="7" t="str">
        <f>"Olivier"</f>
        <v>Olivier</v>
      </c>
      <c r="B457" s="7" t="str">
        <f>"Ostigny"</f>
        <v>Ostigny</v>
      </c>
      <c r="C457" s="7" t="str">
        <f t="shared" si="85"/>
        <v>M</v>
      </c>
      <c r="D457" s="7" t="str">
        <f t="shared" si="78"/>
        <v>U16</v>
      </c>
      <c r="E457" s="2">
        <v>2004</v>
      </c>
      <c r="F457" s="7" t="str">
        <f>"Club de Judo d'Asbestos-Danville"</f>
        <v>Club de Judo d'Asbestos-Danville</v>
      </c>
      <c r="G457" s="7" t="str">
        <f t="shared" si="86"/>
        <v>-60kg</v>
      </c>
      <c r="H457" s="7" t="str">
        <f>"0189115"</f>
        <v>0189115</v>
      </c>
      <c r="I457" s="7" t="str">
        <f t="shared" si="87"/>
        <v>QC</v>
      </c>
      <c r="J457" s="7" t="s">
        <v>164</v>
      </c>
      <c r="K457" s="7" t="str">
        <f>""</f>
        <v/>
      </c>
      <c r="L457" s="7" t="str">
        <f>""</f>
        <v/>
      </c>
      <c r="M457" s="7" t="s">
        <v>233</v>
      </c>
    </row>
    <row r="458" spans="1:13" x14ac:dyDescent="0.25">
      <c r="A458" s="7" t="str">
        <f>"Mathias"</f>
        <v>Mathias</v>
      </c>
      <c r="B458" s="7" t="str">
        <f>"Perron"</f>
        <v>Perron</v>
      </c>
      <c r="C458" s="7" t="str">
        <f t="shared" si="85"/>
        <v>M</v>
      </c>
      <c r="D458" s="7" t="str">
        <f t="shared" si="78"/>
        <v>U16</v>
      </c>
      <c r="E458" s="2">
        <v>2005</v>
      </c>
      <c r="F458" s="7" t="str">
        <f>"Club de judo Métropolitain inc."</f>
        <v>Club de judo Métropolitain inc.</v>
      </c>
      <c r="G458" s="7" t="str">
        <f t="shared" si="86"/>
        <v>-60kg</v>
      </c>
      <c r="H458" s="7" t="str">
        <f>"0206093"</f>
        <v>0206093</v>
      </c>
      <c r="I458" s="7" t="str">
        <f t="shared" si="87"/>
        <v>QC</v>
      </c>
      <c r="J458" s="7" t="s">
        <v>174</v>
      </c>
      <c r="K458" s="7" t="str">
        <f>""</f>
        <v/>
      </c>
      <c r="L458" s="7" t="str">
        <f>""</f>
        <v/>
      </c>
      <c r="M458" s="7" t="s">
        <v>233</v>
      </c>
    </row>
    <row r="459" spans="1:13" x14ac:dyDescent="0.25">
      <c r="A459" s="7" t="str">
        <f>"Michael"</f>
        <v>Michael</v>
      </c>
      <c r="B459" s="7" t="str">
        <f>"Phaneuf"</f>
        <v>Phaneuf</v>
      </c>
      <c r="C459" s="7" t="str">
        <f t="shared" si="85"/>
        <v>M</v>
      </c>
      <c r="D459" s="7" t="str">
        <f t="shared" ref="D459:D490" si="88">"U16"</f>
        <v>U16</v>
      </c>
      <c r="E459" s="2">
        <v>2005</v>
      </c>
      <c r="F459" s="7" t="str">
        <f>"Club de judo To Haku kan inc."</f>
        <v>Club de judo To Haku kan inc.</v>
      </c>
      <c r="G459" s="7" t="str">
        <f t="shared" si="86"/>
        <v>-60kg</v>
      </c>
      <c r="H459" s="7" t="str">
        <f>"0189078"</f>
        <v>0189078</v>
      </c>
      <c r="I459" s="7" t="str">
        <f t="shared" si="87"/>
        <v>QC</v>
      </c>
      <c r="J459" s="7" t="s">
        <v>164</v>
      </c>
      <c r="K459" s="7" t="str">
        <f>""</f>
        <v/>
      </c>
      <c r="L459" s="7" t="str">
        <f>""</f>
        <v/>
      </c>
      <c r="M459" s="7" t="s">
        <v>233</v>
      </c>
    </row>
    <row r="460" spans="1:13" x14ac:dyDescent="0.25">
      <c r="A460" s="7" t="str">
        <f>"Arthur"</f>
        <v>Arthur</v>
      </c>
      <c r="B460" s="7" t="str">
        <f>"Pontier-Valois"</f>
        <v>Pontier-Valois</v>
      </c>
      <c r="C460" s="7" t="str">
        <f t="shared" si="85"/>
        <v>M</v>
      </c>
      <c r="D460" s="7" t="str">
        <f t="shared" si="88"/>
        <v>U16</v>
      </c>
      <c r="E460" s="2">
        <v>2004</v>
      </c>
      <c r="F460" s="7" t="str">
        <f>"Club de judo St-Jean Bosco de Hull"</f>
        <v>Club de judo St-Jean Bosco de Hull</v>
      </c>
      <c r="G460" s="7" t="str">
        <f t="shared" si="86"/>
        <v>-60kg</v>
      </c>
      <c r="H460" s="7" t="str">
        <f>"0214699"</f>
        <v>0214699</v>
      </c>
      <c r="I460" s="7" t="str">
        <f t="shared" si="87"/>
        <v>QC</v>
      </c>
      <c r="J460" s="7" t="s">
        <v>163</v>
      </c>
      <c r="K460" s="7" t="str">
        <f>""</f>
        <v/>
      </c>
      <c r="L460" s="7" t="str">
        <f>""</f>
        <v/>
      </c>
      <c r="M460" s="7" t="s">
        <v>233</v>
      </c>
    </row>
    <row r="461" spans="1:13" x14ac:dyDescent="0.25">
      <c r="A461" s="7" t="str">
        <f>"Skyler"</f>
        <v>Skyler</v>
      </c>
      <c r="B461" s="7" t="str">
        <f>"Proulx-Olson"</f>
        <v>Proulx-Olson</v>
      </c>
      <c r="C461" s="7" t="str">
        <f t="shared" si="85"/>
        <v>M</v>
      </c>
      <c r="D461" s="7" t="str">
        <f t="shared" si="88"/>
        <v>U16</v>
      </c>
      <c r="E461" s="2">
        <v>2005</v>
      </c>
      <c r="F461" s="7" t="str">
        <f>"Dojo Perrot Shima"</f>
        <v>Dojo Perrot Shima</v>
      </c>
      <c r="G461" s="7" t="str">
        <f t="shared" si="86"/>
        <v>-60kg</v>
      </c>
      <c r="H461" s="7" t="str">
        <f>"0177220"</f>
        <v>0177220</v>
      </c>
      <c r="I461" s="7" t="str">
        <f t="shared" si="87"/>
        <v>QC</v>
      </c>
      <c r="J461" s="7" t="s">
        <v>167</v>
      </c>
      <c r="K461" s="7" t="str">
        <f>""</f>
        <v/>
      </c>
      <c r="L461" s="7" t="str">
        <f>""</f>
        <v/>
      </c>
      <c r="M461" s="7" t="s">
        <v>233</v>
      </c>
    </row>
    <row r="462" spans="1:13" x14ac:dyDescent="0.25">
      <c r="A462" s="7" t="str">
        <f>"Anthony"</f>
        <v>Anthony</v>
      </c>
      <c r="B462" s="7" t="str">
        <f>"Rodrigue"</f>
        <v>Rodrigue</v>
      </c>
      <c r="C462" s="7" t="str">
        <f t="shared" si="85"/>
        <v>M</v>
      </c>
      <c r="D462" s="7" t="str">
        <f t="shared" si="88"/>
        <v>U16</v>
      </c>
      <c r="E462" s="2">
        <v>2004</v>
      </c>
      <c r="F462" s="7" t="str">
        <f>"Judo Beauce"</f>
        <v>Judo Beauce</v>
      </c>
      <c r="G462" s="7" t="str">
        <f t="shared" si="86"/>
        <v>-60kg</v>
      </c>
      <c r="H462" s="7" t="str">
        <f>"0220501"</f>
        <v>0220501</v>
      </c>
      <c r="I462" s="7" t="str">
        <f t="shared" si="87"/>
        <v>QC</v>
      </c>
      <c r="J462" s="7" t="s">
        <v>163</v>
      </c>
      <c r="K462" s="7" t="str">
        <f>""</f>
        <v/>
      </c>
      <c r="L462" s="7" t="str">
        <f>""</f>
        <v/>
      </c>
      <c r="M462" s="7" t="s">
        <v>233</v>
      </c>
    </row>
    <row r="463" spans="1:13" x14ac:dyDescent="0.25">
      <c r="A463" s="7" t="str">
        <f>"Philippe"</f>
        <v>Philippe</v>
      </c>
      <c r="B463" s="7" t="str">
        <f>"Rosset-Balcer"</f>
        <v>Rosset-Balcer</v>
      </c>
      <c r="C463" s="7" t="str">
        <f t="shared" si="85"/>
        <v>M</v>
      </c>
      <c r="D463" s="7" t="str">
        <f t="shared" si="88"/>
        <v>U16</v>
      </c>
      <c r="E463" s="2">
        <v>2005</v>
      </c>
      <c r="F463" s="7" t="str">
        <f>"Club de judo Shidokan inc."</f>
        <v>Club de judo Shidokan inc.</v>
      </c>
      <c r="G463" s="7" t="str">
        <f t="shared" si="86"/>
        <v>-60kg</v>
      </c>
      <c r="H463" s="7" t="str">
        <f>"0194880"</f>
        <v>0194880</v>
      </c>
      <c r="I463" s="7" t="str">
        <f t="shared" si="87"/>
        <v>QC</v>
      </c>
      <c r="J463" s="7" t="s">
        <v>164</v>
      </c>
      <c r="K463" s="7" t="str">
        <f>""</f>
        <v/>
      </c>
      <c r="L463" s="7" t="str">
        <f>""</f>
        <v/>
      </c>
      <c r="M463" s="7" t="s">
        <v>233</v>
      </c>
    </row>
    <row r="464" spans="1:13" x14ac:dyDescent="0.25">
      <c r="A464" s="7" t="str">
        <f>"Alexis"</f>
        <v>Alexis</v>
      </c>
      <c r="B464" s="7" t="str">
        <f>"Roy"</f>
        <v>Roy</v>
      </c>
      <c r="C464" s="7" t="str">
        <f t="shared" si="85"/>
        <v>M</v>
      </c>
      <c r="D464" s="7" t="str">
        <f t="shared" si="88"/>
        <v>U16</v>
      </c>
      <c r="E464" s="2">
        <v>2005</v>
      </c>
      <c r="F464" s="7" t="str">
        <f>"Judo Beauce"</f>
        <v>Judo Beauce</v>
      </c>
      <c r="G464" s="7" t="str">
        <f t="shared" si="86"/>
        <v>-60kg</v>
      </c>
      <c r="H464" s="7" t="str">
        <f>"0231795"</f>
        <v>0231795</v>
      </c>
      <c r="I464" s="7" t="str">
        <f t="shared" si="87"/>
        <v>QC</v>
      </c>
      <c r="J464" s="7" t="s">
        <v>163</v>
      </c>
      <c r="K464" s="7" t="str">
        <f>""</f>
        <v/>
      </c>
      <c r="L464" s="7" t="str">
        <f>""</f>
        <v/>
      </c>
      <c r="M464" s="7" t="s">
        <v>233</v>
      </c>
    </row>
    <row r="465" spans="1:14" x14ac:dyDescent="0.25">
      <c r="A465" s="7" t="str">
        <f>"Édouard"</f>
        <v>Édouard</v>
      </c>
      <c r="B465" s="7" t="str">
        <f>"Smith"</f>
        <v>Smith</v>
      </c>
      <c r="C465" s="7" t="str">
        <f t="shared" si="85"/>
        <v>M</v>
      </c>
      <c r="D465" s="7" t="str">
        <f t="shared" si="88"/>
        <v>U16</v>
      </c>
      <c r="E465" s="2">
        <v>2005</v>
      </c>
      <c r="F465" s="7" t="str">
        <f>"Club de judo de la vieille capitale"</f>
        <v>Club de judo de la vieille capitale</v>
      </c>
      <c r="G465" s="7" t="str">
        <f t="shared" si="86"/>
        <v>-60kg</v>
      </c>
      <c r="H465" s="7" t="str">
        <f>"0184921"</f>
        <v>0184921</v>
      </c>
      <c r="I465" s="7" t="str">
        <f t="shared" si="87"/>
        <v>QC</v>
      </c>
      <c r="J465" s="7" t="s">
        <v>163</v>
      </c>
      <c r="K465" s="7" t="str">
        <f>""</f>
        <v/>
      </c>
      <c r="L465" s="7" t="str">
        <f>""</f>
        <v/>
      </c>
      <c r="M465" s="7" t="s">
        <v>233</v>
      </c>
    </row>
    <row r="466" spans="1:14" x14ac:dyDescent="0.25">
      <c r="A466" s="7" t="str">
        <f>"Elias"</f>
        <v>Elias</v>
      </c>
      <c r="B466" s="7" t="str">
        <f>"W.staszewski"</f>
        <v>W.staszewski</v>
      </c>
      <c r="C466" s="7" t="str">
        <f t="shared" si="85"/>
        <v>M</v>
      </c>
      <c r="D466" s="7" t="str">
        <f t="shared" si="88"/>
        <v>U16</v>
      </c>
      <c r="E466" s="2">
        <v>2004</v>
      </c>
      <c r="F466" s="7" t="str">
        <f>"Club de judo Shidokan inc."</f>
        <v>Club de judo Shidokan inc.</v>
      </c>
      <c r="G466" s="7" t="str">
        <f t="shared" si="86"/>
        <v>-60kg</v>
      </c>
      <c r="H466" s="7" t="str">
        <f>"0181327"</f>
        <v>0181327</v>
      </c>
      <c r="I466" s="7" t="str">
        <f t="shared" si="87"/>
        <v>QC</v>
      </c>
      <c r="J466" s="7" t="s">
        <v>167</v>
      </c>
      <c r="K466" s="7" t="str">
        <f>""</f>
        <v/>
      </c>
      <c r="L466" s="7" t="str">
        <f>""</f>
        <v/>
      </c>
      <c r="M466" s="7" t="s">
        <v>233</v>
      </c>
    </row>
    <row r="467" spans="1:14" x14ac:dyDescent="0.25">
      <c r="A467" s="7" t="str">
        <f>"Dave"</f>
        <v>Dave</v>
      </c>
      <c r="B467" s="7" t="str">
        <f>"Yana"</f>
        <v>Yana</v>
      </c>
      <c r="C467" s="7" t="str">
        <f t="shared" si="85"/>
        <v>M</v>
      </c>
      <c r="D467" s="7" t="str">
        <f t="shared" si="88"/>
        <v>U16</v>
      </c>
      <c r="E467" s="2">
        <v>2005</v>
      </c>
      <c r="F467" s="7" t="str">
        <f>"Arts martiaux Budokai inc."</f>
        <v>Arts martiaux Budokai inc.</v>
      </c>
      <c r="G467" s="7" t="str">
        <f t="shared" si="86"/>
        <v>-60kg</v>
      </c>
      <c r="H467" s="7" t="str">
        <f>"0207587"</f>
        <v>0207587</v>
      </c>
      <c r="I467" s="7" t="str">
        <f t="shared" si="87"/>
        <v>QC</v>
      </c>
      <c r="J467" s="7" t="s">
        <v>163</v>
      </c>
      <c r="K467" s="7" t="str">
        <f>""</f>
        <v/>
      </c>
      <c r="L467" s="7" t="str">
        <f>""</f>
        <v/>
      </c>
      <c r="M467" s="7" t="s">
        <v>233</v>
      </c>
    </row>
    <row r="468" spans="1:14" x14ac:dyDescent="0.25">
      <c r="A468" s="4" t="str">
        <f>"Isaac"</f>
        <v>Isaac</v>
      </c>
      <c r="B468" s="4" t="str">
        <f>"L'heureux"</f>
        <v>L'heureux</v>
      </c>
      <c r="C468" s="4" t="str">
        <f t="shared" si="85"/>
        <v>M</v>
      </c>
      <c r="D468" s="4" t="str">
        <f t="shared" si="88"/>
        <v>U16</v>
      </c>
      <c r="E468" s="2">
        <v>2005</v>
      </c>
      <c r="F468" s="4" t="str">
        <f>"Judo Mont-Bruno"</f>
        <v>Judo Mont-Bruno</v>
      </c>
      <c r="G468" s="4" t="str">
        <f t="shared" ref="G468:G474" si="89">"-66kg"</f>
        <v>-66kg</v>
      </c>
      <c r="H468" s="4" t="str">
        <f>"0229097"</f>
        <v>0229097</v>
      </c>
      <c r="I468" s="4" t="str">
        <f t="shared" si="87"/>
        <v>QC</v>
      </c>
      <c r="J468" s="4" t="s">
        <v>171</v>
      </c>
      <c r="K468" s="4" t="str">
        <f>""</f>
        <v/>
      </c>
      <c r="L468" s="4" t="s">
        <v>151</v>
      </c>
      <c r="M468" s="4" t="s">
        <v>240</v>
      </c>
      <c r="N468" s="4"/>
    </row>
    <row r="469" spans="1:14" x14ac:dyDescent="0.25">
      <c r="A469" s="6" t="str">
        <f>"Xavier"</f>
        <v>Xavier</v>
      </c>
      <c r="B469" s="6" t="str">
        <f>"Aznar-Petit"</f>
        <v>Aznar-Petit</v>
      </c>
      <c r="C469" s="6" t="str">
        <f t="shared" si="85"/>
        <v>M</v>
      </c>
      <c r="D469" s="6" t="str">
        <f t="shared" si="88"/>
        <v>U16</v>
      </c>
      <c r="E469" s="2">
        <v>2004</v>
      </c>
      <c r="F469" s="6" t="str">
        <f>"Club de judo Saint-Hubert"</f>
        <v>Club de judo Saint-Hubert</v>
      </c>
      <c r="G469" s="6" t="str">
        <f t="shared" si="89"/>
        <v>-66kg</v>
      </c>
      <c r="H469" s="6" t="str">
        <f>"AutreFederation"</f>
        <v>AutreFederation</v>
      </c>
      <c r="I469" s="6" t="str">
        <f t="shared" si="87"/>
        <v>QC</v>
      </c>
      <c r="J469" s="6" t="s">
        <v>163</v>
      </c>
      <c r="K469" s="6" t="str">
        <f>""</f>
        <v/>
      </c>
      <c r="L469" s="6" t="str">
        <f>""</f>
        <v/>
      </c>
      <c r="M469" s="6" t="s">
        <v>234</v>
      </c>
    </row>
    <row r="470" spans="1:14" x14ac:dyDescent="0.25">
      <c r="A470" s="6" t="str">
        <f>"Alexi"</f>
        <v>Alexi</v>
      </c>
      <c r="B470" s="6" t="str">
        <f>"Bertrand"</f>
        <v>Bertrand</v>
      </c>
      <c r="C470" s="6" t="str">
        <f t="shared" si="85"/>
        <v>M</v>
      </c>
      <c r="D470" s="6" t="str">
        <f t="shared" si="88"/>
        <v>U16</v>
      </c>
      <c r="E470" s="2">
        <v>2004</v>
      </c>
      <c r="F470" s="6" t="str">
        <f>"Arts martiaux Budokai inc."</f>
        <v>Arts martiaux Budokai inc.</v>
      </c>
      <c r="G470" s="6" t="str">
        <f t="shared" si="89"/>
        <v>-66kg</v>
      </c>
      <c r="H470" s="6" t="str">
        <f>"0156757"</f>
        <v>0156757</v>
      </c>
      <c r="I470" s="6" t="str">
        <f t="shared" si="87"/>
        <v>QC</v>
      </c>
      <c r="J470" s="6" t="s">
        <v>164</v>
      </c>
      <c r="K470" s="6" t="str">
        <f>""</f>
        <v/>
      </c>
      <c r="L470" s="6" t="str">
        <f>""</f>
        <v/>
      </c>
      <c r="M470" s="6" t="s">
        <v>234</v>
      </c>
    </row>
    <row r="471" spans="1:14" x14ac:dyDescent="0.25">
      <c r="A471" s="6" t="str">
        <f>"Christopher"</f>
        <v>Christopher</v>
      </c>
      <c r="B471" s="6" t="str">
        <f>"Blouin"</f>
        <v>Blouin</v>
      </c>
      <c r="C471" s="6" t="str">
        <f t="shared" si="85"/>
        <v>M</v>
      </c>
      <c r="D471" s="6" t="str">
        <f t="shared" si="88"/>
        <v>U16</v>
      </c>
      <c r="E471" s="2">
        <v>2005</v>
      </c>
      <c r="F471" s="6" t="str">
        <f>"Club de judo Shidokan inc."</f>
        <v>Club de judo Shidokan inc.</v>
      </c>
      <c r="G471" s="6" t="str">
        <f t="shared" si="89"/>
        <v>-66kg</v>
      </c>
      <c r="H471" s="6" t="str">
        <f>"0167531"</f>
        <v>0167531</v>
      </c>
      <c r="I471" s="6" t="str">
        <f t="shared" si="87"/>
        <v>QC</v>
      </c>
      <c r="J471" s="6" t="s">
        <v>175</v>
      </c>
      <c r="K471" s="6" t="str">
        <f>""</f>
        <v/>
      </c>
      <c r="L471" s="6" t="str">
        <f>""</f>
        <v/>
      </c>
      <c r="M471" s="6" t="s">
        <v>234</v>
      </c>
    </row>
    <row r="472" spans="1:14" x14ac:dyDescent="0.25">
      <c r="A472" s="6" t="str">
        <f>"Xavier"</f>
        <v>Xavier</v>
      </c>
      <c r="B472" s="6" t="str">
        <f>"Bureau"</f>
        <v>Bureau</v>
      </c>
      <c r="C472" s="6" t="str">
        <f t="shared" si="85"/>
        <v>M</v>
      </c>
      <c r="D472" s="6" t="str">
        <f t="shared" si="88"/>
        <v>U16</v>
      </c>
      <c r="E472" s="2">
        <v>2005</v>
      </c>
      <c r="F472" s="6" t="str">
        <f>"Club de judo Ghishintaido inc."</f>
        <v>Club de judo Ghishintaido inc.</v>
      </c>
      <c r="G472" s="6" t="str">
        <f t="shared" si="89"/>
        <v>-66kg</v>
      </c>
      <c r="H472" s="6" t="str">
        <f>"0189435"</f>
        <v>0189435</v>
      </c>
      <c r="I472" s="6" t="str">
        <f t="shared" si="87"/>
        <v>QC</v>
      </c>
      <c r="J472" s="6" t="s">
        <v>163</v>
      </c>
      <c r="K472" s="6" t="str">
        <f>""</f>
        <v/>
      </c>
      <c r="L472" s="6" t="str">
        <f>""</f>
        <v/>
      </c>
      <c r="M472" s="6" t="s">
        <v>234</v>
      </c>
    </row>
    <row r="473" spans="1:14" x14ac:dyDescent="0.25">
      <c r="A473" s="6" t="str">
        <f>"Maxime"</f>
        <v>Maxime</v>
      </c>
      <c r="B473" s="6" t="str">
        <f>"Cartier"</f>
        <v>Cartier</v>
      </c>
      <c r="C473" s="6" t="str">
        <f t="shared" si="85"/>
        <v>M</v>
      </c>
      <c r="D473" s="6" t="str">
        <f t="shared" si="88"/>
        <v>U16</v>
      </c>
      <c r="E473" s="2">
        <v>2005</v>
      </c>
      <c r="F473" s="6" t="str">
        <f>"Judo Blainville"</f>
        <v>Judo Blainville</v>
      </c>
      <c r="G473" s="6" t="str">
        <f t="shared" si="89"/>
        <v>-66kg</v>
      </c>
      <c r="H473" s="6" t="str">
        <f>"0214606"</f>
        <v>0214606</v>
      </c>
      <c r="I473" s="6" t="str">
        <f t="shared" si="87"/>
        <v>QC</v>
      </c>
      <c r="J473" s="6" t="s">
        <v>174</v>
      </c>
      <c r="K473" s="6" t="str">
        <f>""</f>
        <v/>
      </c>
      <c r="L473" s="6" t="str">
        <f>""</f>
        <v/>
      </c>
      <c r="M473" s="6" t="s">
        <v>234</v>
      </c>
    </row>
    <row r="474" spans="1:14" x14ac:dyDescent="0.25">
      <c r="A474" s="6" t="str">
        <f>"Thomas"</f>
        <v>Thomas</v>
      </c>
      <c r="B474" s="6" t="str">
        <f>"Desmarais"</f>
        <v>Desmarais</v>
      </c>
      <c r="C474" s="6" t="str">
        <f t="shared" si="85"/>
        <v>M</v>
      </c>
      <c r="D474" s="6" t="str">
        <f t="shared" si="88"/>
        <v>U16</v>
      </c>
      <c r="E474" s="2">
        <v>2004</v>
      </c>
      <c r="F474" s="6" t="str">
        <f>"Club de Judo d'Asbestos-Danville"</f>
        <v>Club de Judo d'Asbestos-Danville</v>
      </c>
      <c r="G474" s="6" t="str">
        <f t="shared" si="89"/>
        <v>-66kg</v>
      </c>
      <c r="H474" s="6" t="str">
        <f>"0175322"</f>
        <v>0175322</v>
      </c>
      <c r="I474" s="6" t="str">
        <f t="shared" si="87"/>
        <v>QC</v>
      </c>
      <c r="J474" s="6" t="s">
        <v>163</v>
      </c>
      <c r="K474" s="6" t="str">
        <f>""</f>
        <v/>
      </c>
      <c r="L474" s="6" t="str">
        <f>""</f>
        <v/>
      </c>
      <c r="M474" s="6" t="s">
        <v>234</v>
      </c>
    </row>
    <row r="475" spans="1:14" x14ac:dyDescent="0.25">
      <c r="A475" s="6" t="s">
        <v>63</v>
      </c>
      <c r="B475" s="6" t="s">
        <v>64</v>
      </c>
      <c r="C475" s="6" t="s">
        <v>13</v>
      </c>
      <c r="D475" s="6" t="str">
        <f t="shared" si="88"/>
        <v>U16</v>
      </c>
      <c r="E475" s="2">
        <v>2004</v>
      </c>
      <c r="F475" s="6" t="s">
        <v>20</v>
      </c>
      <c r="G475" s="6" t="s">
        <v>15</v>
      </c>
      <c r="H475" s="6" t="s">
        <v>65</v>
      </c>
      <c r="I475" s="6" t="s">
        <v>17</v>
      </c>
      <c r="J475" s="6" t="s">
        <v>167</v>
      </c>
      <c r="K475" s="6" t="s">
        <v>10</v>
      </c>
      <c r="L475" s="6" t="s">
        <v>10</v>
      </c>
      <c r="M475" s="6" t="s">
        <v>234</v>
      </c>
    </row>
    <row r="476" spans="1:14" x14ac:dyDescent="0.25">
      <c r="A476" s="6" t="str">
        <f>"Lucca"</f>
        <v>Lucca</v>
      </c>
      <c r="B476" s="6" t="str">
        <f>"Gorbachuk"</f>
        <v>Gorbachuk</v>
      </c>
      <c r="C476" s="6" t="str">
        <f t="shared" ref="C476:C482" si="90">"M"</f>
        <v>M</v>
      </c>
      <c r="D476" s="6" t="str">
        <f t="shared" si="88"/>
        <v>U16</v>
      </c>
      <c r="E476" s="2">
        <v>2004</v>
      </c>
      <c r="F476" s="6" t="str">
        <f>"Club de judo St-Jean Bosco de Hull"</f>
        <v>Club de judo St-Jean Bosco de Hull</v>
      </c>
      <c r="G476" s="6" t="str">
        <f t="shared" ref="G476:G482" si="91">"-66kg"</f>
        <v>-66kg</v>
      </c>
      <c r="H476" s="6" t="str">
        <f>"0180032"</f>
        <v>0180032</v>
      </c>
      <c r="I476" s="6" t="str">
        <f t="shared" ref="I476:I482" si="92">"QC"</f>
        <v>QC</v>
      </c>
      <c r="J476" s="6" t="s">
        <v>167</v>
      </c>
      <c r="K476" s="6" t="str">
        <f>""</f>
        <v/>
      </c>
      <c r="L476" s="6" t="str">
        <f>""</f>
        <v/>
      </c>
      <c r="M476" s="6" t="s">
        <v>234</v>
      </c>
    </row>
    <row r="477" spans="1:14" x14ac:dyDescent="0.25">
      <c r="A477" s="6" t="str">
        <f>"Matis"</f>
        <v>Matis</v>
      </c>
      <c r="B477" s="6" t="str">
        <f>"Groleau"</f>
        <v>Groleau</v>
      </c>
      <c r="C477" s="6" t="str">
        <f t="shared" si="90"/>
        <v>M</v>
      </c>
      <c r="D477" s="6" t="str">
        <f t="shared" si="88"/>
        <v>U16</v>
      </c>
      <c r="E477" s="2">
        <v>2004</v>
      </c>
      <c r="F477" s="6" t="str">
        <f>"Club de judo Vallée du Richelieu"</f>
        <v>Club de judo Vallée du Richelieu</v>
      </c>
      <c r="G477" s="6" t="str">
        <f t="shared" si="91"/>
        <v>-66kg</v>
      </c>
      <c r="H477" s="6" t="str">
        <f>"0166311"</f>
        <v>0166311</v>
      </c>
      <c r="I477" s="6" t="str">
        <f t="shared" si="92"/>
        <v>QC</v>
      </c>
      <c r="J477" s="6" t="s">
        <v>167</v>
      </c>
      <c r="K477" s="6" t="str">
        <f>""</f>
        <v/>
      </c>
      <c r="L477" s="6" t="str">
        <f>""</f>
        <v/>
      </c>
      <c r="M477" s="6" t="s">
        <v>234</v>
      </c>
    </row>
    <row r="478" spans="1:14" x14ac:dyDescent="0.25">
      <c r="A478" s="6" t="str">
        <f>"Jacob"</f>
        <v>Jacob</v>
      </c>
      <c r="B478" s="6" t="str">
        <f>"Houtekamer"</f>
        <v>Houtekamer</v>
      </c>
      <c r="C478" s="6" t="str">
        <f t="shared" si="90"/>
        <v>M</v>
      </c>
      <c r="D478" s="6" t="str">
        <f t="shared" si="88"/>
        <v>U16</v>
      </c>
      <c r="E478" s="2">
        <v>2005</v>
      </c>
      <c r="F478" s="6" t="str">
        <f>"Club de judo Stanislas"</f>
        <v>Club de judo Stanislas</v>
      </c>
      <c r="G478" s="6" t="str">
        <f t="shared" si="91"/>
        <v>-66kg</v>
      </c>
      <c r="H478" s="6" t="str">
        <f>"0183679"</f>
        <v>0183679</v>
      </c>
      <c r="I478" s="6" t="str">
        <f t="shared" si="92"/>
        <v>QC</v>
      </c>
      <c r="J478" s="6" t="s">
        <v>175</v>
      </c>
      <c r="K478" s="6" t="str">
        <f>""</f>
        <v/>
      </c>
      <c r="L478" s="6" t="str">
        <f>""</f>
        <v/>
      </c>
      <c r="M478" s="6" t="s">
        <v>234</v>
      </c>
    </row>
    <row r="479" spans="1:14" x14ac:dyDescent="0.25">
      <c r="A479" s="6" t="str">
        <f>"Arthur"</f>
        <v>Arthur</v>
      </c>
      <c r="B479" s="6" t="str">
        <f>"Karpukov"</f>
        <v>Karpukov</v>
      </c>
      <c r="C479" s="6" t="str">
        <f t="shared" si="90"/>
        <v>M</v>
      </c>
      <c r="D479" s="6" t="str">
        <f t="shared" si="88"/>
        <v>U16</v>
      </c>
      <c r="E479" s="2">
        <v>2005</v>
      </c>
      <c r="F479" s="6" t="str">
        <f>"Club de judo Shidokan inc."</f>
        <v>Club de judo Shidokan inc.</v>
      </c>
      <c r="G479" s="6" t="str">
        <f t="shared" si="91"/>
        <v>-66kg</v>
      </c>
      <c r="H479" s="6" t="str">
        <f>"0233204"</f>
        <v>0233204</v>
      </c>
      <c r="I479" s="6" t="str">
        <f t="shared" si="92"/>
        <v>QC</v>
      </c>
      <c r="J479" s="6" t="s">
        <v>164</v>
      </c>
      <c r="K479" s="6" t="str">
        <f>""</f>
        <v/>
      </c>
      <c r="L479" s="6" t="str">
        <f>""</f>
        <v/>
      </c>
      <c r="M479" s="6" t="s">
        <v>234</v>
      </c>
    </row>
    <row r="480" spans="1:14" x14ac:dyDescent="0.25">
      <c r="A480" s="6" t="str">
        <f>"Ryan"</f>
        <v>Ryan</v>
      </c>
      <c r="B480" s="6" t="str">
        <f>"Kitio-Njiomtio"</f>
        <v>Kitio-Njiomtio</v>
      </c>
      <c r="C480" s="6" t="str">
        <f t="shared" si="90"/>
        <v>M</v>
      </c>
      <c r="D480" s="6" t="str">
        <f t="shared" si="88"/>
        <v>U16</v>
      </c>
      <c r="E480" s="2">
        <v>2005</v>
      </c>
      <c r="F480" s="6" t="str">
        <f>"Arts martiaux Budokai inc."</f>
        <v>Arts martiaux Budokai inc.</v>
      </c>
      <c r="G480" s="6" t="str">
        <f t="shared" si="91"/>
        <v>-66kg</v>
      </c>
      <c r="H480" s="6" t="str">
        <f>"0223422"</f>
        <v>0223422</v>
      </c>
      <c r="I480" s="6" t="str">
        <f t="shared" si="92"/>
        <v>QC</v>
      </c>
      <c r="J480" s="6" t="s">
        <v>174</v>
      </c>
      <c r="K480" s="6" t="str">
        <f>""</f>
        <v/>
      </c>
      <c r="L480" s="6" t="str">
        <f>""</f>
        <v/>
      </c>
      <c r="M480" s="6" t="s">
        <v>234</v>
      </c>
    </row>
    <row r="481" spans="1:14" x14ac:dyDescent="0.25">
      <c r="A481" s="6" t="str">
        <f>"Jacob"</f>
        <v>Jacob</v>
      </c>
      <c r="B481" s="6" t="str">
        <f>"Lafrance"</f>
        <v>Lafrance</v>
      </c>
      <c r="C481" s="6" t="str">
        <f t="shared" si="90"/>
        <v>M</v>
      </c>
      <c r="D481" s="6" t="str">
        <f t="shared" si="88"/>
        <v>U16</v>
      </c>
      <c r="E481" s="2">
        <v>2004</v>
      </c>
      <c r="F481" s="6" t="str">
        <f>"Dojo Perrot Shima"</f>
        <v>Dojo Perrot Shima</v>
      </c>
      <c r="G481" s="6" t="str">
        <f t="shared" si="91"/>
        <v>-66kg</v>
      </c>
      <c r="H481" s="6" t="str">
        <f>"0184797"</f>
        <v>0184797</v>
      </c>
      <c r="I481" s="6" t="str">
        <f t="shared" si="92"/>
        <v>QC</v>
      </c>
      <c r="J481" s="6" t="s">
        <v>167</v>
      </c>
      <c r="K481" s="6" t="str">
        <f>""</f>
        <v/>
      </c>
      <c r="L481" s="6" t="str">
        <f>""</f>
        <v/>
      </c>
      <c r="M481" s="6" t="s">
        <v>234</v>
      </c>
    </row>
    <row r="482" spans="1:14" x14ac:dyDescent="0.25">
      <c r="A482" s="6" t="str">
        <f>"William"</f>
        <v>William</v>
      </c>
      <c r="B482" s="6" t="str">
        <f>"Laporte William"</f>
        <v>Laporte William</v>
      </c>
      <c r="C482" s="6" t="str">
        <f t="shared" si="90"/>
        <v>M</v>
      </c>
      <c r="D482" s="6" t="str">
        <f t="shared" si="88"/>
        <v>U16</v>
      </c>
      <c r="E482" s="2">
        <v>2004</v>
      </c>
      <c r="F482" s="6" t="str">
        <f>"Kime-Waza  Joliette"</f>
        <v>Kime-Waza  Joliette</v>
      </c>
      <c r="G482" s="6" t="str">
        <f t="shared" si="91"/>
        <v>-66kg</v>
      </c>
      <c r="H482" s="6" t="str">
        <f>"0180960"</f>
        <v>0180960</v>
      </c>
      <c r="I482" s="6" t="str">
        <f t="shared" si="92"/>
        <v>QC</v>
      </c>
      <c r="J482" s="6" t="s">
        <v>174</v>
      </c>
      <c r="K482" s="6" t="str">
        <f>""</f>
        <v/>
      </c>
      <c r="L482" s="6" t="str">
        <f>""</f>
        <v/>
      </c>
      <c r="M482" s="6" t="s">
        <v>234</v>
      </c>
    </row>
    <row r="483" spans="1:14" x14ac:dyDescent="0.25">
      <c r="A483" s="6" t="s">
        <v>40</v>
      </c>
      <c r="B483" s="6" t="s">
        <v>41</v>
      </c>
      <c r="C483" s="6" t="s">
        <v>13</v>
      </c>
      <c r="D483" s="6" t="str">
        <f t="shared" si="88"/>
        <v>U16</v>
      </c>
      <c r="E483" s="2">
        <v>2004</v>
      </c>
      <c r="F483" s="6" t="s">
        <v>14</v>
      </c>
      <c r="G483" s="6" t="s">
        <v>15</v>
      </c>
      <c r="H483" s="6" t="s">
        <v>42</v>
      </c>
      <c r="I483" s="6" t="s">
        <v>17</v>
      </c>
      <c r="J483" s="6" t="s">
        <v>167</v>
      </c>
      <c r="K483" s="6" t="s">
        <v>10</v>
      </c>
      <c r="L483" s="6" t="s">
        <v>10</v>
      </c>
      <c r="M483" s="6" t="s">
        <v>234</v>
      </c>
    </row>
    <row r="484" spans="1:14" x14ac:dyDescent="0.25">
      <c r="A484" s="6" t="str">
        <f>"Jingtong"</f>
        <v>Jingtong</v>
      </c>
      <c r="B484" s="6" t="str">
        <f>"Mo"</f>
        <v>Mo</v>
      </c>
      <c r="C484" s="6" t="str">
        <f t="shared" ref="C484:C497" si="93">"M"</f>
        <v>M</v>
      </c>
      <c r="D484" s="6" t="str">
        <f t="shared" si="88"/>
        <v>U16</v>
      </c>
      <c r="E484" s="2">
        <v>2004</v>
      </c>
      <c r="F484" s="6" t="str">
        <f>"Club de judo Shidokan inc."</f>
        <v>Club de judo Shidokan inc.</v>
      </c>
      <c r="G484" s="6" t="str">
        <f>"-66kg"</f>
        <v>-66kg</v>
      </c>
      <c r="H484" s="6" t="str">
        <f>"0198017"</f>
        <v>0198017</v>
      </c>
      <c r="I484" s="6" t="str">
        <f t="shared" ref="I484:I497" si="94">"QC"</f>
        <v>QC</v>
      </c>
      <c r="J484" s="6" t="s">
        <v>164</v>
      </c>
      <c r="K484" s="6" t="str">
        <f>""</f>
        <v/>
      </c>
      <c r="L484" s="6" t="str">
        <f>""</f>
        <v/>
      </c>
      <c r="M484" s="6" t="s">
        <v>234</v>
      </c>
    </row>
    <row r="485" spans="1:14" x14ac:dyDescent="0.25">
      <c r="A485" s="6" t="str">
        <f>"Jeremie"</f>
        <v>Jeremie</v>
      </c>
      <c r="B485" s="6" t="str">
        <f>"Ngombi"</f>
        <v>Ngombi</v>
      </c>
      <c r="C485" s="6" t="str">
        <f t="shared" si="93"/>
        <v>M</v>
      </c>
      <c r="D485" s="6" t="str">
        <f t="shared" si="88"/>
        <v>U16</v>
      </c>
      <c r="E485" s="2">
        <v>2005</v>
      </c>
      <c r="F485" s="6" t="str">
        <f>"Club de judo Shidokan inc."</f>
        <v>Club de judo Shidokan inc.</v>
      </c>
      <c r="G485" s="6" t="str">
        <f>"-66kg"</f>
        <v>-66kg</v>
      </c>
      <c r="H485" s="6" t="str">
        <f>"0178452"</f>
        <v>0178452</v>
      </c>
      <c r="I485" s="6" t="str">
        <f t="shared" si="94"/>
        <v>QC</v>
      </c>
      <c r="J485" s="6" t="s">
        <v>164</v>
      </c>
      <c r="K485" s="6" t="str">
        <f>""</f>
        <v/>
      </c>
      <c r="L485" s="6" t="str">
        <f>""</f>
        <v/>
      </c>
      <c r="M485" s="6" t="s">
        <v>234</v>
      </c>
    </row>
    <row r="486" spans="1:14" x14ac:dyDescent="0.25">
      <c r="A486" s="6" t="str">
        <f>"Isaac"</f>
        <v>Isaac</v>
      </c>
      <c r="B486" s="6" t="str">
        <f>"Savard"</f>
        <v>Savard</v>
      </c>
      <c r="C486" s="6" t="str">
        <f t="shared" si="93"/>
        <v>M</v>
      </c>
      <c r="D486" s="6" t="str">
        <f t="shared" si="88"/>
        <v>U16</v>
      </c>
      <c r="E486" s="2">
        <v>2004</v>
      </c>
      <c r="F486" s="6" t="str">
        <f>"Club judokas Jonquière inc."</f>
        <v>Club judokas Jonquière inc.</v>
      </c>
      <c r="G486" s="6" t="str">
        <f>"-66kg"</f>
        <v>-66kg</v>
      </c>
      <c r="H486" s="6" t="str">
        <f>"0175985"</f>
        <v>0175985</v>
      </c>
      <c r="I486" s="6" t="str">
        <f t="shared" si="94"/>
        <v>QC</v>
      </c>
      <c r="J486" s="6" t="s">
        <v>167</v>
      </c>
      <c r="K486" s="6" t="str">
        <f>""</f>
        <v/>
      </c>
      <c r="L486" s="6" t="str">
        <f>""</f>
        <v/>
      </c>
      <c r="M486" s="6" t="s">
        <v>234</v>
      </c>
    </row>
    <row r="487" spans="1:14" x14ac:dyDescent="0.25">
      <c r="A487" s="1" t="str">
        <f>"Charles-Alexandre"</f>
        <v>Charles-Alexandre</v>
      </c>
      <c r="B487" s="1" t="str">
        <f>"Cassagnol"</f>
        <v>Cassagnol</v>
      </c>
      <c r="C487" s="1" t="str">
        <f t="shared" si="93"/>
        <v>M</v>
      </c>
      <c r="D487" s="1" t="str">
        <f t="shared" si="88"/>
        <v>U16</v>
      </c>
      <c r="E487" s="2">
        <v>2005</v>
      </c>
      <c r="F487" s="1" t="str">
        <f>"Club de judo Métropolitain inc."</f>
        <v>Club de judo Métropolitain inc.</v>
      </c>
      <c r="G487" s="1" t="str">
        <f t="shared" ref="G487:G497" si="95">"-73kg"</f>
        <v>-73kg</v>
      </c>
      <c r="H487" s="1" t="str">
        <f>"0214767"</f>
        <v>0214767</v>
      </c>
      <c r="I487" s="1" t="str">
        <f t="shared" si="94"/>
        <v>QC</v>
      </c>
      <c r="J487" s="1" t="s">
        <v>172</v>
      </c>
      <c r="K487" s="1" t="str">
        <f>""</f>
        <v/>
      </c>
      <c r="L487" s="1" t="str">
        <f>""</f>
        <v/>
      </c>
      <c r="M487" s="1" t="s">
        <v>241</v>
      </c>
      <c r="N487" s="1"/>
    </row>
    <row r="488" spans="1:14" x14ac:dyDescent="0.25">
      <c r="A488" s="1" t="str">
        <f>"Javier"</f>
        <v>Javier</v>
      </c>
      <c r="B488" s="1" t="str">
        <f>"Quirogo-Iroheto"</f>
        <v>Quirogo-Iroheto</v>
      </c>
      <c r="C488" s="1" t="str">
        <f t="shared" si="93"/>
        <v>M</v>
      </c>
      <c r="D488" s="1" t="str">
        <f t="shared" si="88"/>
        <v>U16</v>
      </c>
      <c r="E488" s="2">
        <v>2005</v>
      </c>
      <c r="F488" s="1" t="str">
        <f>"Club de judo Shidokan inc."</f>
        <v>Club de judo Shidokan inc.</v>
      </c>
      <c r="G488" s="1" t="str">
        <f t="shared" si="95"/>
        <v>-73kg</v>
      </c>
      <c r="H488" s="1" t="str">
        <f>"0167526"</f>
        <v>0167526</v>
      </c>
      <c r="I488" s="1" t="str">
        <f t="shared" si="94"/>
        <v>QC</v>
      </c>
      <c r="J488" s="1" t="s">
        <v>172</v>
      </c>
      <c r="K488" s="1" t="str">
        <f>""</f>
        <v/>
      </c>
      <c r="L488" s="1" t="str">
        <f>""</f>
        <v/>
      </c>
      <c r="M488" s="1" t="s">
        <v>241</v>
      </c>
      <c r="N488" s="1"/>
    </row>
    <row r="489" spans="1:14" x14ac:dyDescent="0.25">
      <c r="A489" s="1" t="str">
        <f>"Boudreault"</f>
        <v>Boudreault</v>
      </c>
      <c r="B489" s="1" t="str">
        <f>"Xavier"</f>
        <v>Xavier</v>
      </c>
      <c r="C489" s="1" t="str">
        <f t="shared" si="93"/>
        <v>M</v>
      </c>
      <c r="D489" s="1" t="str">
        <f t="shared" si="88"/>
        <v>U16</v>
      </c>
      <c r="E489" s="2">
        <v>2005</v>
      </c>
      <c r="F489" s="1" t="str">
        <f>"Club de judo St-Jean Bosco de Hull"</f>
        <v>Club de judo St-Jean Bosco de Hull</v>
      </c>
      <c r="G489" s="1" t="str">
        <f t="shared" si="95"/>
        <v>-73kg</v>
      </c>
      <c r="H489" s="1" t="str">
        <f>"0207932"</f>
        <v>0207932</v>
      </c>
      <c r="I489" s="1" t="str">
        <f t="shared" si="94"/>
        <v>QC</v>
      </c>
      <c r="J489" s="1" t="s">
        <v>171</v>
      </c>
      <c r="K489" s="1" t="str">
        <f>""</f>
        <v/>
      </c>
      <c r="L489" s="1" t="str">
        <f>""</f>
        <v/>
      </c>
      <c r="M489" s="1" t="s">
        <v>241</v>
      </c>
      <c r="N489" s="1"/>
    </row>
    <row r="490" spans="1:14" x14ac:dyDescent="0.25">
      <c r="A490" s="7" t="str">
        <f>"Faniry-Michaël"</f>
        <v>Faniry-Michaël</v>
      </c>
      <c r="B490" s="7" t="str">
        <f>"Adrianmanana"</f>
        <v>Adrianmanana</v>
      </c>
      <c r="C490" s="7" t="str">
        <f t="shared" si="93"/>
        <v>M</v>
      </c>
      <c r="D490" s="7" t="str">
        <f t="shared" si="88"/>
        <v>U16</v>
      </c>
      <c r="E490" s="2">
        <v>2004</v>
      </c>
      <c r="F490" s="7" t="str">
        <f>"Club de judo Saint-Hyacinthe Inc."</f>
        <v>Club de judo Saint-Hyacinthe Inc.</v>
      </c>
      <c r="G490" s="7" t="str">
        <f t="shared" si="95"/>
        <v>-73kg</v>
      </c>
      <c r="H490" s="7" t="str">
        <f>"0171577"</f>
        <v>0171577</v>
      </c>
      <c r="I490" s="7" t="str">
        <f t="shared" si="94"/>
        <v>QC</v>
      </c>
      <c r="J490" s="7" t="s">
        <v>163</v>
      </c>
      <c r="K490" s="7" t="str">
        <f>""</f>
        <v/>
      </c>
      <c r="L490" s="7" t="str">
        <f>""</f>
        <v/>
      </c>
      <c r="M490" s="7" t="s">
        <v>235</v>
      </c>
    </row>
    <row r="491" spans="1:14" x14ac:dyDescent="0.25">
      <c r="A491" s="7" t="str">
        <f>"Eliot"</f>
        <v>Eliot</v>
      </c>
      <c r="B491" s="7" t="str">
        <f>"Beaulac"</f>
        <v>Beaulac</v>
      </c>
      <c r="C491" s="7" t="str">
        <f t="shared" si="93"/>
        <v>M</v>
      </c>
      <c r="D491" s="7" t="str">
        <f t="shared" ref="D491:D498" si="96">"U16"</f>
        <v>U16</v>
      </c>
      <c r="E491" s="2">
        <v>2004</v>
      </c>
      <c r="F491" s="7" t="str">
        <f>"Club de judo Seïkidokan inc."</f>
        <v>Club de judo Seïkidokan inc.</v>
      </c>
      <c r="G491" s="7" t="str">
        <f t="shared" si="95"/>
        <v>-73kg</v>
      </c>
      <c r="H491" s="7" t="str">
        <f>"0187998"</f>
        <v>0187998</v>
      </c>
      <c r="I491" s="7" t="str">
        <f t="shared" si="94"/>
        <v>QC</v>
      </c>
      <c r="J491" s="7" t="s">
        <v>167</v>
      </c>
      <c r="K491" s="7" t="str">
        <f>""</f>
        <v/>
      </c>
      <c r="L491" s="7" t="str">
        <f>""</f>
        <v/>
      </c>
      <c r="M491" s="7" t="s">
        <v>235</v>
      </c>
    </row>
    <row r="492" spans="1:14" x14ac:dyDescent="0.25">
      <c r="A492" s="7" t="str">
        <f>"Emeric"</f>
        <v>Emeric</v>
      </c>
      <c r="B492" s="7" t="str">
        <f>"Burton"</f>
        <v>Burton</v>
      </c>
      <c r="C492" s="7" t="str">
        <f t="shared" si="93"/>
        <v>M</v>
      </c>
      <c r="D492" s="7" t="str">
        <f t="shared" si="96"/>
        <v>U16</v>
      </c>
      <c r="E492" s="2">
        <v>2004</v>
      </c>
      <c r="F492" s="7" t="str">
        <f>"Club de judo Saint-Hubert"</f>
        <v>Club de judo Saint-Hubert</v>
      </c>
      <c r="G492" s="7" t="str">
        <f t="shared" si="95"/>
        <v>-73kg</v>
      </c>
      <c r="H492" s="7" t="str">
        <f>"0188554"</f>
        <v>0188554</v>
      </c>
      <c r="I492" s="7" t="str">
        <f t="shared" si="94"/>
        <v>QC</v>
      </c>
      <c r="J492" s="7" t="s">
        <v>163</v>
      </c>
      <c r="K492" s="7" t="str">
        <f>""</f>
        <v/>
      </c>
      <c r="L492" s="7" t="str">
        <f>""</f>
        <v/>
      </c>
      <c r="M492" s="7" t="s">
        <v>235</v>
      </c>
    </row>
    <row r="493" spans="1:14" x14ac:dyDescent="0.25">
      <c r="A493" s="7" t="str">
        <f>"Vincent"</f>
        <v>Vincent</v>
      </c>
      <c r="B493" s="7" t="str">
        <f>"Durand"</f>
        <v>Durand</v>
      </c>
      <c r="C493" s="7" t="str">
        <f t="shared" si="93"/>
        <v>M</v>
      </c>
      <c r="D493" s="7" t="str">
        <f t="shared" si="96"/>
        <v>U16</v>
      </c>
      <c r="E493" s="2">
        <v>2005</v>
      </c>
      <c r="F493" s="7" t="str">
        <f>"Club de judo Vallée du Richelieu"</f>
        <v>Club de judo Vallée du Richelieu</v>
      </c>
      <c r="G493" s="7" t="str">
        <f t="shared" si="95"/>
        <v>-73kg</v>
      </c>
      <c r="H493" s="7" t="str">
        <f>"0189852"</f>
        <v>0189852</v>
      </c>
      <c r="I493" s="7" t="str">
        <f t="shared" si="94"/>
        <v>QC</v>
      </c>
      <c r="J493" s="7" t="s">
        <v>164</v>
      </c>
      <c r="K493" s="7" t="str">
        <f>""</f>
        <v/>
      </c>
      <c r="L493" s="7" t="str">
        <f>""</f>
        <v/>
      </c>
      <c r="M493" s="7" t="s">
        <v>235</v>
      </c>
    </row>
    <row r="494" spans="1:14" x14ac:dyDescent="0.25">
      <c r="A494" s="7" t="str">
        <f>"Jeremy"</f>
        <v>Jeremy</v>
      </c>
      <c r="B494" s="7" t="str">
        <f>"Durand"</f>
        <v>Durand</v>
      </c>
      <c r="C494" s="7" t="str">
        <f t="shared" si="93"/>
        <v>M</v>
      </c>
      <c r="D494" s="7" t="str">
        <f t="shared" si="96"/>
        <v>U16</v>
      </c>
      <c r="E494" s="2">
        <v>2005</v>
      </c>
      <c r="F494" s="7" t="str">
        <f>"Club de judo Vallée du Richelieu"</f>
        <v>Club de judo Vallée du Richelieu</v>
      </c>
      <c r="G494" s="7" t="str">
        <f t="shared" si="95"/>
        <v>-73kg</v>
      </c>
      <c r="H494" s="7" t="str">
        <f>"0189853"</f>
        <v>0189853</v>
      </c>
      <c r="I494" s="7" t="str">
        <f t="shared" si="94"/>
        <v>QC</v>
      </c>
      <c r="J494" s="7" t="s">
        <v>163</v>
      </c>
      <c r="K494" s="7" t="str">
        <f>""</f>
        <v/>
      </c>
      <c r="L494" s="7" t="str">
        <f>""</f>
        <v/>
      </c>
      <c r="M494" s="7" t="s">
        <v>235</v>
      </c>
    </row>
    <row r="495" spans="1:14" x14ac:dyDescent="0.25">
      <c r="A495" s="7" t="str">
        <f>"Gabriel"</f>
        <v>Gabriel</v>
      </c>
      <c r="B495" s="7" t="str">
        <f>"Guay"</f>
        <v>Guay</v>
      </c>
      <c r="C495" s="7" t="str">
        <f t="shared" si="93"/>
        <v>M</v>
      </c>
      <c r="D495" s="7" t="str">
        <f t="shared" si="96"/>
        <v>U16</v>
      </c>
      <c r="E495" s="2">
        <v>2004</v>
      </c>
      <c r="F495" s="7" t="str">
        <f>"Académie de judo de Saint-Sauveur"</f>
        <v>Académie de judo de Saint-Sauveur</v>
      </c>
      <c r="G495" s="7" t="str">
        <f t="shared" si="95"/>
        <v>-73kg</v>
      </c>
      <c r="H495" s="7" t="str">
        <f>"0188724"</f>
        <v>0188724</v>
      </c>
      <c r="I495" s="7" t="str">
        <f t="shared" si="94"/>
        <v>QC</v>
      </c>
      <c r="J495" s="7" t="s">
        <v>163</v>
      </c>
      <c r="K495" s="7" t="str">
        <f>""</f>
        <v/>
      </c>
      <c r="L495" s="7" t="str">
        <f>""</f>
        <v/>
      </c>
      <c r="M495" s="7" t="s">
        <v>235</v>
      </c>
    </row>
    <row r="496" spans="1:14" x14ac:dyDescent="0.25">
      <c r="A496" s="7" t="str">
        <f>"Thomas"</f>
        <v>Thomas</v>
      </c>
      <c r="B496" s="7" t="str">
        <f>"Noel"</f>
        <v>Noel</v>
      </c>
      <c r="C496" s="7" t="str">
        <f t="shared" si="93"/>
        <v>M</v>
      </c>
      <c r="D496" s="7" t="str">
        <f t="shared" si="96"/>
        <v>U16</v>
      </c>
      <c r="E496" s="2">
        <v>2004</v>
      </c>
      <c r="F496" s="7" t="str">
        <f>"Club de judo Lévis"</f>
        <v>Club de judo Lévis</v>
      </c>
      <c r="G496" s="7" t="str">
        <f t="shared" si="95"/>
        <v>-73kg</v>
      </c>
      <c r="H496" s="7" t="str">
        <f>"0216993"</f>
        <v>0216993</v>
      </c>
      <c r="I496" s="7" t="str">
        <f t="shared" si="94"/>
        <v>QC</v>
      </c>
      <c r="J496" s="7" t="s">
        <v>174</v>
      </c>
      <c r="K496" s="7" t="str">
        <f>""</f>
        <v/>
      </c>
      <c r="L496" s="7" t="str">
        <f>""</f>
        <v/>
      </c>
      <c r="M496" s="7" t="s">
        <v>235</v>
      </c>
    </row>
    <row r="497" spans="1:14" x14ac:dyDescent="0.25">
      <c r="A497" s="7" t="str">
        <f>"Henri"</f>
        <v>Henri</v>
      </c>
      <c r="B497" s="7" t="str">
        <f>"Saumure"</f>
        <v>Saumure</v>
      </c>
      <c r="C497" s="7" t="str">
        <f t="shared" si="93"/>
        <v>M</v>
      </c>
      <c r="D497" s="7" t="str">
        <f t="shared" si="96"/>
        <v>U16</v>
      </c>
      <c r="E497" s="2">
        <v>2006</v>
      </c>
      <c r="F497" s="7" t="str">
        <f>"Club de Judo Boucherville inc."</f>
        <v>Club de Judo Boucherville inc.</v>
      </c>
      <c r="G497" s="7" t="str">
        <f t="shared" si="95"/>
        <v>-73kg</v>
      </c>
      <c r="H497" s="7" t="str">
        <f>"0181797"</f>
        <v>0181797</v>
      </c>
      <c r="I497" s="7" t="str">
        <f t="shared" si="94"/>
        <v>QC</v>
      </c>
      <c r="J497" s="7" t="s">
        <v>175</v>
      </c>
      <c r="K497" s="7" t="str">
        <f>""</f>
        <v/>
      </c>
      <c r="L497" s="7" t="s">
        <v>262</v>
      </c>
      <c r="M497" s="7" t="s">
        <v>235</v>
      </c>
    </row>
    <row r="498" spans="1:14" x14ac:dyDescent="0.25">
      <c r="A498" s="7" t="s">
        <v>94</v>
      </c>
      <c r="B498" s="7" t="s">
        <v>95</v>
      </c>
      <c r="C498" s="7" t="s">
        <v>13</v>
      </c>
      <c r="D498" s="7" t="str">
        <f t="shared" si="96"/>
        <v>U16</v>
      </c>
      <c r="E498" s="2">
        <v>2004</v>
      </c>
      <c r="F498" s="7" t="s">
        <v>14</v>
      </c>
      <c r="G498" s="7" t="s">
        <v>61</v>
      </c>
      <c r="H498" s="7" t="s">
        <v>96</v>
      </c>
      <c r="I498" s="7" t="s">
        <v>17</v>
      </c>
      <c r="J498" s="7" t="s">
        <v>167</v>
      </c>
      <c r="K498" s="7" t="s">
        <v>10</v>
      </c>
      <c r="L498" s="7" t="s">
        <v>10</v>
      </c>
      <c r="M498" s="7" t="s">
        <v>235</v>
      </c>
    </row>
    <row r="499" spans="1:14" x14ac:dyDescent="0.25">
      <c r="A499" s="1" t="str">
        <f>"Alexandre"</f>
        <v>Alexandre</v>
      </c>
      <c r="B499" s="1" t="str">
        <f>"Vaque"</f>
        <v>Vaque</v>
      </c>
      <c r="C499" s="1" t="str">
        <f>"M"</f>
        <v>M</v>
      </c>
      <c r="D499" s="1" t="str">
        <f>"U16 (Seulement)"</f>
        <v>U16 (Seulement)</v>
      </c>
      <c r="E499" s="2">
        <v>2005</v>
      </c>
      <c r="F499" s="1" t="str">
        <f>"Club de judo Stanislas"</f>
        <v>Club de judo Stanislas</v>
      </c>
      <c r="G499" s="1" t="str">
        <f>"-50kg"</f>
        <v>-50kg</v>
      </c>
      <c r="H499" s="1" t="str">
        <f>"0229419"</f>
        <v>0229419</v>
      </c>
      <c r="I499" s="1" t="str">
        <f t="shared" ref="I499:I505" si="97">"QC"</f>
        <v>QC</v>
      </c>
      <c r="J499" s="1" t="s">
        <v>165</v>
      </c>
      <c r="K499" s="1" t="str">
        <f>""</f>
        <v/>
      </c>
      <c r="L499" s="1" t="str">
        <f>""</f>
        <v/>
      </c>
      <c r="M499" s="1" t="s">
        <v>243</v>
      </c>
      <c r="N499" s="1"/>
    </row>
    <row r="500" spans="1:14" x14ac:dyDescent="0.25">
      <c r="A500" s="6" t="str">
        <f>"Emili"</f>
        <v>Emili</v>
      </c>
      <c r="B500" s="6" t="str">
        <f>"Bourget"</f>
        <v>Bourget</v>
      </c>
      <c r="C500" s="6" t="str">
        <f t="shared" ref="C500:C505" si="98">"F"</f>
        <v>F</v>
      </c>
      <c r="D500" s="6" t="str">
        <f t="shared" ref="D500:D531" si="99">"U18"</f>
        <v>U18</v>
      </c>
      <c r="E500" s="2">
        <v>2003</v>
      </c>
      <c r="F500" s="6" t="str">
        <f>"Club de judo Fermont"</f>
        <v>Club de judo Fermont</v>
      </c>
      <c r="G500" s="6" t="str">
        <f t="shared" ref="G500:G505" si="100">"-52kg"</f>
        <v>-52kg</v>
      </c>
      <c r="H500" s="6" t="str">
        <f>"0214705"</f>
        <v>0214705</v>
      </c>
      <c r="I500" s="6" t="str">
        <f t="shared" si="97"/>
        <v>QC</v>
      </c>
      <c r="J500" s="6" t="s">
        <v>167</v>
      </c>
      <c r="K500" s="6" t="str">
        <f>""</f>
        <v/>
      </c>
      <c r="L500" s="6" t="str">
        <f>""</f>
        <v/>
      </c>
      <c r="M500" s="6" t="s">
        <v>248</v>
      </c>
      <c r="N500" s="6"/>
    </row>
    <row r="501" spans="1:14" x14ac:dyDescent="0.25">
      <c r="A501" s="6" t="str">
        <f>"Anabelle"</f>
        <v>Anabelle</v>
      </c>
      <c r="B501" s="6" t="str">
        <f>"Cloutier"</f>
        <v>Cloutier</v>
      </c>
      <c r="C501" s="6" t="str">
        <f t="shared" si="98"/>
        <v>F</v>
      </c>
      <c r="D501" s="6" t="str">
        <f t="shared" si="99"/>
        <v>U18</v>
      </c>
      <c r="E501" s="2">
        <v>2002</v>
      </c>
      <c r="F501" s="6" t="str">
        <f>"Club de judo Shidokan inc."</f>
        <v>Club de judo Shidokan inc.</v>
      </c>
      <c r="G501" s="6" t="str">
        <f t="shared" si="100"/>
        <v>-52kg</v>
      </c>
      <c r="H501" s="6" t="str">
        <f>"0173224"</f>
        <v>0173224</v>
      </c>
      <c r="I501" s="6" t="str">
        <f t="shared" si="97"/>
        <v>QC</v>
      </c>
      <c r="J501" s="6" t="s">
        <v>168</v>
      </c>
      <c r="K501" s="6" t="str">
        <f>""</f>
        <v/>
      </c>
      <c r="L501" s="6" t="str">
        <f>""</f>
        <v/>
      </c>
      <c r="M501" s="6" t="s">
        <v>248</v>
      </c>
      <c r="N501" s="6"/>
    </row>
    <row r="502" spans="1:14" x14ac:dyDescent="0.25">
      <c r="A502" s="6" t="str">
        <f>"Marie-Pier"</f>
        <v>Marie-Pier</v>
      </c>
      <c r="B502" s="6" t="str">
        <f>"Gingras"</f>
        <v>Gingras</v>
      </c>
      <c r="C502" s="6" t="str">
        <f t="shared" si="98"/>
        <v>F</v>
      </c>
      <c r="D502" s="6" t="str">
        <f t="shared" si="99"/>
        <v>U18</v>
      </c>
      <c r="E502" s="2">
        <v>2003</v>
      </c>
      <c r="F502" s="6" t="str">
        <f>"Club de judo de la vieille capitale"</f>
        <v>Club de judo de la vieille capitale</v>
      </c>
      <c r="G502" s="6" t="str">
        <f t="shared" si="100"/>
        <v>-52kg</v>
      </c>
      <c r="H502" s="6" t="str">
        <f>"0230466"</f>
        <v>0230466</v>
      </c>
      <c r="I502" s="6" t="str">
        <f t="shared" si="97"/>
        <v>QC</v>
      </c>
      <c r="J502" s="6" t="s">
        <v>167</v>
      </c>
      <c r="K502" s="6" t="str">
        <f>""</f>
        <v/>
      </c>
      <c r="L502" s="6" t="str">
        <f>""</f>
        <v/>
      </c>
      <c r="M502" s="6" t="s">
        <v>248</v>
      </c>
      <c r="N502" s="6"/>
    </row>
    <row r="503" spans="1:14" x14ac:dyDescent="0.25">
      <c r="A503" s="6" t="str">
        <f>"Amélie"</f>
        <v>Amélie</v>
      </c>
      <c r="B503" s="6" t="str">
        <f>"Grenier"</f>
        <v>Grenier</v>
      </c>
      <c r="C503" s="6" t="str">
        <f t="shared" si="98"/>
        <v>F</v>
      </c>
      <c r="D503" s="6" t="str">
        <f t="shared" si="99"/>
        <v>U18</v>
      </c>
      <c r="E503" s="2">
        <v>2002</v>
      </c>
      <c r="F503" s="6" t="str">
        <f>"Judo Ju Shin Kan Laterrière"</f>
        <v>Judo Ju Shin Kan Laterrière</v>
      </c>
      <c r="G503" s="6" t="str">
        <f t="shared" si="100"/>
        <v>-52kg</v>
      </c>
      <c r="H503" s="6" t="str">
        <f>"0171435"</f>
        <v>0171435</v>
      </c>
      <c r="I503" s="6" t="str">
        <f t="shared" si="97"/>
        <v>QC</v>
      </c>
      <c r="J503" s="6" t="s">
        <v>167</v>
      </c>
      <c r="K503" s="6" t="str">
        <f>""</f>
        <v/>
      </c>
      <c r="L503" s="6" t="str">
        <f>""</f>
        <v/>
      </c>
      <c r="M503" s="6" t="s">
        <v>248</v>
      </c>
      <c r="N503" s="6"/>
    </row>
    <row r="504" spans="1:14" x14ac:dyDescent="0.25">
      <c r="A504" s="6" t="str">
        <f>"Violette"</f>
        <v>Violette</v>
      </c>
      <c r="B504" s="6" t="str">
        <f>"Louet"</f>
        <v>Louet</v>
      </c>
      <c r="C504" s="6" t="str">
        <f t="shared" si="98"/>
        <v>F</v>
      </c>
      <c r="D504" s="6" t="str">
        <f t="shared" si="99"/>
        <v>U18</v>
      </c>
      <c r="E504" s="2">
        <v>2003</v>
      </c>
      <c r="F504" s="6" t="str">
        <f>"Judo Monde"</f>
        <v>Judo Monde</v>
      </c>
      <c r="G504" s="6" t="str">
        <f t="shared" si="100"/>
        <v>-52kg</v>
      </c>
      <c r="H504" s="6" t="str">
        <f>"0156815"</f>
        <v>0156815</v>
      </c>
      <c r="I504" s="6" t="str">
        <f t="shared" si="97"/>
        <v>QC</v>
      </c>
      <c r="J504" s="6" t="s">
        <v>167</v>
      </c>
      <c r="K504" s="6" t="str">
        <f>""</f>
        <v/>
      </c>
      <c r="L504" s="6" t="str">
        <f>""</f>
        <v/>
      </c>
      <c r="M504" s="6" t="s">
        <v>248</v>
      </c>
      <c r="N504" s="6"/>
    </row>
    <row r="505" spans="1:14" x14ac:dyDescent="0.25">
      <c r="A505" s="6" t="str">
        <f>"Lea"</f>
        <v>Lea</v>
      </c>
      <c r="B505" s="6" t="str">
        <f>"St-Arnaud"</f>
        <v>St-Arnaud</v>
      </c>
      <c r="C505" s="6" t="str">
        <f t="shared" si="98"/>
        <v>F</v>
      </c>
      <c r="D505" s="6" t="str">
        <f t="shared" si="99"/>
        <v>U18</v>
      </c>
      <c r="E505" s="2">
        <v>2003</v>
      </c>
      <c r="F505" s="6" t="str">
        <f>"Club de judo Seïkidokan inc."</f>
        <v>Club de judo Seïkidokan inc.</v>
      </c>
      <c r="G505" s="6" t="str">
        <f t="shared" si="100"/>
        <v>-52kg</v>
      </c>
      <c r="H505" s="6" t="str">
        <f>"0220452"</f>
        <v>0220452</v>
      </c>
      <c r="I505" s="6" t="str">
        <f t="shared" si="97"/>
        <v>QC</v>
      </c>
      <c r="J505" s="6" t="s">
        <v>174</v>
      </c>
      <c r="K505" s="6" t="str">
        <f>""</f>
        <v/>
      </c>
      <c r="L505" s="6" t="str">
        <f>""</f>
        <v/>
      </c>
      <c r="M505" s="6" t="s">
        <v>248</v>
      </c>
      <c r="N505" s="6"/>
    </row>
    <row r="506" spans="1:14" x14ac:dyDescent="0.25">
      <c r="A506" s="6" t="s">
        <v>87</v>
      </c>
      <c r="B506" s="6" t="s">
        <v>88</v>
      </c>
      <c r="C506" s="6" t="s">
        <v>52</v>
      </c>
      <c r="D506" s="6" t="str">
        <f t="shared" si="99"/>
        <v>U18</v>
      </c>
      <c r="E506" s="2">
        <v>2003</v>
      </c>
      <c r="F506" s="6" t="s">
        <v>89</v>
      </c>
      <c r="G506" s="6" t="s">
        <v>53</v>
      </c>
      <c r="H506" s="6" t="s">
        <v>90</v>
      </c>
      <c r="I506" s="6" t="s">
        <v>17</v>
      </c>
      <c r="J506" s="6" t="s">
        <v>167</v>
      </c>
      <c r="K506" s="6" t="s">
        <v>10</v>
      </c>
      <c r="L506" s="6" t="s">
        <v>10</v>
      </c>
      <c r="M506" s="6" t="s">
        <v>249</v>
      </c>
      <c r="N506" s="6"/>
    </row>
    <row r="507" spans="1:14" x14ac:dyDescent="0.25">
      <c r="A507" s="6" t="str">
        <f>"Myriam"</f>
        <v>Myriam</v>
      </c>
      <c r="B507" s="6" t="str">
        <f>"Brazeau"</f>
        <v>Brazeau</v>
      </c>
      <c r="C507" s="6" t="str">
        <f>"F"</f>
        <v>F</v>
      </c>
      <c r="D507" s="6" t="str">
        <f t="shared" si="99"/>
        <v>U18</v>
      </c>
      <c r="E507" s="2">
        <v>2003</v>
      </c>
      <c r="F507" s="6" t="str">
        <f>"Dojo Perrot Shima"</f>
        <v>Dojo Perrot Shima</v>
      </c>
      <c r="G507" s="6" t="str">
        <f>"-63kg"</f>
        <v>-63kg</v>
      </c>
      <c r="H507" s="6" t="str">
        <f>"0227723"</f>
        <v>0227723</v>
      </c>
      <c r="I507" s="6" t="str">
        <f>"QC"</f>
        <v>QC</v>
      </c>
      <c r="J507" s="6" t="s">
        <v>167</v>
      </c>
      <c r="K507" s="6" t="str">
        <f>""</f>
        <v/>
      </c>
      <c r="L507" s="6" t="str">
        <f>""</f>
        <v/>
      </c>
      <c r="M507" s="6" t="s">
        <v>249</v>
      </c>
      <c r="N507" s="6"/>
    </row>
    <row r="508" spans="1:14" x14ac:dyDescent="0.25">
      <c r="A508" s="6" t="str">
        <f>"Anne"</f>
        <v>Anne</v>
      </c>
      <c r="B508" s="6" t="str">
        <f>"Garneau"</f>
        <v>Garneau</v>
      </c>
      <c r="C508" s="6" t="str">
        <f>"F"</f>
        <v>F</v>
      </c>
      <c r="D508" s="6" t="str">
        <f t="shared" si="99"/>
        <v>U18</v>
      </c>
      <c r="E508" s="2">
        <v>2003</v>
      </c>
      <c r="F508" s="6" t="str">
        <f>"Club de judo Lévis"</f>
        <v>Club de judo Lévis</v>
      </c>
      <c r="G508" s="6" t="str">
        <f>"-63kg"</f>
        <v>-63kg</v>
      </c>
      <c r="H508" s="6" t="str">
        <f>"0180119"</f>
        <v>0180119</v>
      </c>
      <c r="I508" s="6" t="str">
        <f>"QC"</f>
        <v>QC</v>
      </c>
      <c r="J508" s="6" t="s">
        <v>167</v>
      </c>
      <c r="K508" s="6" t="str">
        <f>""</f>
        <v/>
      </c>
      <c r="L508" s="6" t="str">
        <f>""</f>
        <v/>
      </c>
      <c r="M508" s="6" t="s">
        <v>249</v>
      </c>
      <c r="N508" s="6"/>
    </row>
    <row r="509" spans="1:14" x14ac:dyDescent="0.25">
      <c r="A509" s="6" t="str">
        <f>"Cassandra"</f>
        <v>Cassandra</v>
      </c>
      <c r="B509" s="6" t="str">
        <f>"Manil"</f>
        <v>Manil</v>
      </c>
      <c r="C509" s="6" t="str">
        <f>"F"</f>
        <v>F</v>
      </c>
      <c r="D509" s="6" t="str">
        <f t="shared" si="99"/>
        <v>U18</v>
      </c>
      <c r="E509" s="2">
        <v>2003</v>
      </c>
      <c r="F509" s="6" t="str">
        <f>"Club judokas Jonquière inc."</f>
        <v>Club judokas Jonquière inc.</v>
      </c>
      <c r="G509" s="6" t="str">
        <f>"-63kg"</f>
        <v>-63kg</v>
      </c>
      <c r="H509" s="6" t="str">
        <f>"0184288"</f>
        <v>0184288</v>
      </c>
      <c r="I509" s="6" t="str">
        <f>"QC"</f>
        <v>QC</v>
      </c>
      <c r="J509" s="6" t="s">
        <v>167</v>
      </c>
      <c r="K509" s="6" t="str">
        <f>""</f>
        <v/>
      </c>
      <c r="L509" s="6" t="str">
        <f>""</f>
        <v/>
      </c>
      <c r="M509" s="6" t="s">
        <v>249</v>
      </c>
      <c r="N509" s="6"/>
    </row>
    <row r="510" spans="1:14" x14ac:dyDescent="0.25">
      <c r="A510" s="6" t="s">
        <v>91</v>
      </c>
      <c r="B510" s="6" t="s">
        <v>92</v>
      </c>
      <c r="C510" s="6" t="s">
        <v>52</v>
      </c>
      <c r="D510" s="6" t="str">
        <f t="shared" si="99"/>
        <v>U18</v>
      </c>
      <c r="E510" s="2">
        <v>2004</v>
      </c>
      <c r="F510" s="6" t="s">
        <v>14</v>
      </c>
      <c r="G510" s="6" t="s">
        <v>53</v>
      </c>
      <c r="H510" s="6" t="s">
        <v>93</v>
      </c>
      <c r="I510" s="6" t="s">
        <v>17</v>
      </c>
      <c r="J510" s="6" t="s">
        <v>167</v>
      </c>
      <c r="K510" s="6" t="s">
        <v>10</v>
      </c>
      <c r="L510" s="6" t="s">
        <v>10</v>
      </c>
      <c r="M510" s="6" t="s">
        <v>249</v>
      </c>
      <c r="N510" s="6"/>
    </row>
    <row r="511" spans="1:14" x14ac:dyDescent="0.25">
      <c r="A511" s="6" t="s">
        <v>106</v>
      </c>
      <c r="B511" s="6" t="s">
        <v>107</v>
      </c>
      <c r="C511" s="6" t="s">
        <v>52</v>
      </c>
      <c r="D511" s="6" t="str">
        <f t="shared" si="99"/>
        <v>U18</v>
      </c>
      <c r="E511" s="2">
        <v>2002</v>
      </c>
      <c r="F511" s="6" t="s">
        <v>29</v>
      </c>
      <c r="G511" s="6" t="s">
        <v>53</v>
      </c>
      <c r="H511" s="6" t="s">
        <v>108</v>
      </c>
      <c r="I511" s="6" t="s">
        <v>17</v>
      </c>
      <c r="J511" s="6" t="s">
        <v>168</v>
      </c>
      <c r="K511" s="6" t="s">
        <v>10</v>
      </c>
      <c r="L511" s="6" t="s">
        <v>10</v>
      </c>
      <c r="M511" s="6" t="s">
        <v>249</v>
      </c>
      <c r="N511" s="6"/>
    </row>
    <row r="512" spans="1:14" x14ac:dyDescent="0.25">
      <c r="A512" s="6" t="s">
        <v>50</v>
      </c>
      <c r="B512" s="6" t="s">
        <v>51</v>
      </c>
      <c r="C512" s="6" t="s">
        <v>52</v>
      </c>
      <c r="D512" s="6" t="str">
        <f t="shared" si="99"/>
        <v>U18</v>
      </c>
      <c r="E512" s="2">
        <v>2004</v>
      </c>
      <c r="F512" s="6" t="s">
        <v>14</v>
      </c>
      <c r="G512" s="6" t="s">
        <v>53</v>
      </c>
      <c r="H512" s="6" t="s">
        <v>54</v>
      </c>
      <c r="I512" s="6" t="s">
        <v>17</v>
      </c>
      <c r="J512" s="6" t="s">
        <v>174</v>
      </c>
      <c r="K512" s="6" t="s">
        <v>10</v>
      </c>
      <c r="L512" s="6" t="s">
        <v>10</v>
      </c>
      <c r="M512" s="6" t="s">
        <v>249</v>
      </c>
      <c r="N512" s="6"/>
    </row>
    <row r="513" spans="1:14" x14ac:dyDescent="0.25">
      <c r="A513" s="7" t="str">
        <f>"Sarra"</f>
        <v>Sarra</v>
      </c>
      <c r="B513" s="7" t="str">
        <f>"Bourihane"</f>
        <v>Bourihane</v>
      </c>
      <c r="C513" s="7" t="str">
        <f t="shared" ref="C513:C523" si="101">"F"</f>
        <v>F</v>
      </c>
      <c r="D513" s="7" t="str">
        <f t="shared" si="99"/>
        <v>U18</v>
      </c>
      <c r="E513" s="2">
        <v>2003</v>
      </c>
      <c r="F513" s="7" t="str">
        <f>"Club judo St-Leonard"</f>
        <v>Club judo St-Leonard</v>
      </c>
      <c r="G513" s="7" t="str">
        <f>"-48kg"</f>
        <v>-48kg</v>
      </c>
      <c r="H513" s="7" t="str">
        <f>"0207729"</f>
        <v>0207729</v>
      </c>
      <c r="I513" s="7" t="str">
        <f>"QC"</f>
        <v>QC</v>
      </c>
      <c r="J513" s="7" t="s">
        <v>175</v>
      </c>
      <c r="K513" s="7" t="str">
        <f>""</f>
        <v/>
      </c>
      <c r="L513" s="7" t="str">
        <f>""</f>
        <v/>
      </c>
      <c r="M513" s="7" t="s">
        <v>246</v>
      </c>
      <c r="N513" s="7"/>
    </row>
    <row r="514" spans="1:14" x14ac:dyDescent="0.25">
      <c r="A514" s="7" t="str">
        <f>"Eleonore"</f>
        <v>Eleonore</v>
      </c>
      <c r="B514" s="7" t="str">
        <f>"Cote"</f>
        <v>Cote</v>
      </c>
      <c r="C514" s="7" t="str">
        <f t="shared" si="101"/>
        <v>F</v>
      </c>
      <c r="D514" s="7" t="str">
        <f t="shared" si="99"/>
        <v>U18</v>
      </c>
      <c r="E514" s="2">
        <v>2002</v>
      </c>
      <c r="F514" s="7" t="str">
        <f>"Dojo De Beauport"</f>
        <v>Dojo De Beauport</v>
      </c>
      <c r="G514" s="7" t="str">
        <f>"-48kg"</f>
        <v>-48kg</v>
      </c>
      <c r="H514" s="7" t="str">
        <f>"0189083"</f>
        <v>0189083</v>
      </c>
      <c r="I514" s="7" t="str">
        <f>"QC"</f>
        <v>QC</v>
      </c>
      <c r="J514" s="7" t="s">
        <v>167</v>
      </c>
      <c r="K514" s="7" t="str">
        <f>""</f>
        <v/>
      </c>
      <c r="L514" s="7" t="str">
        <f>""</f>
        <v/>
      </c>
      <c r="M514" s="7" t="s">
        <v>246</v>
      </c>
      <c r="N514" s="7"/>
    </row>
    <row r="515" spans="1:14" x14ac:dyDescent="0.25">
      <c r="A515" s="7" t="str">
        <f>"Beatrice"</f>
        <v>Beatrice</v>
      </c>
      <c r="B515" s="7" t="str">
        <f>"Turcotte"</f>
        <v>Turcotte</v>
      </c>
      <c r="C515" s="7" t="str">
        <f t="shared" si="101"/>
        <v>F</v>
      </c>
      <c r="D515" s="7" t="str">
        <f t="shared" si="99"/>
        <v>U18</v>
      </c>
      <c r="E515" s="2">
        <v>2003</v>
      </c>
      <c r="F515" s="7" t="str">
        <f>"Club de judo de Varennes"</f>
        <v>Club de judo de Varennes</v>
      </c>
      <c r="G515" s="7" t="str">
        <f>"-48kg"</f>
        <v>-48kg</v>
      </c>
      <c r="H515" s="7" t="str">
        <f>"0202799"</f>
        <v>0202799</v>
      </c>
      <c r="I515" s="7" t="str">
        <f>"QC"</f>
        <v>QC</v>
      </c>
      <c r="J515" s="7" t="s">
        <v>167</v>
      </c>
      <c r="K515" s="7" t="str">
        <f>""</f>
        <v/>
      </c>
      <c r="L515" s="7" t="str">
        <f>""</f>
        <v/>
      </c>
      <c r="M515" s="7" t="s">
        <v>246</v>
      </c>
      <c r="N515" s="7"/>
    </row>
    <row r="516" spans="1:14" x14ac:dyDescent="0.25">
      <c r="A516" s="4" t="str">
        <f>"Sekina"</f>
        <v>Sekina</v>
      </c>
      <c r="B516" s="4" t="str">
        <f>"Goulet"</f>
        <v>Goulet</v>
      </c>
      <c r="C516" s="4" t="str">
        <f t="shared" si="101"/>
        <v>F</v>
      </c>
      <c r="D516" s="4" t="str">
        <f t="shared" si="99"/>
        <v>U18</v>
      </c>
      <c r="E516" s="2">
        <v>2003</v>
      </c>
      <c r="F516" s="4" t="str">
        <f>"Takahashi Dojo"</f>
        <v>Takahashi Dojo</v>
      </c>
      <c r="G516" s="4" t="str">
        <f t="shared" ref="G516:G521" si="102">"-57kg"</f>
        <v>-57kg</v>
      </c>
      <c r="H516" s="4" t="str">
        <f>"0185153"</f>
        <v>0185153</v>
      </c>
      <c r="I516" s="4" t="str">
        <f>"ON"</f>
        <v>ON</v>
      </c>
      <c r="J516" s="4" t="s">
        <v>165</v>
      </c>
      <c r="K516" s="4" t="s">
        <v>151</v>
      </c>
      <c r="L516" s="4" t="s">
        <v>180</v>
      </c>
      <c r="M516" s="4" t="s">
        <v>244</v>
      </c>
    </row>
    <row r="517" spans="1:14" x14ac:dyDescent="0.25">
      <c r="A517" s="7" t="str">
        <f>"Keren-Ha Pierrette"</f>
        <v>Keren-Ha Pierrette</v>
      </c>
      <c r="B517" s="7" t="str">
        <f>"Akomo Mvolo"</f>
        <v>Akomo Mvolo</v>
      </c>
      <c r="C517" s="7" t="str">
        <f t="shared" si="101"/>
        <v>F</v>
      </c>
      <c r="D517" s="7" t="str">
        <f t="shared" si="99"/>
        <v>U18</v>
      </c>
      <c r="E517" s="2">
        <v>2003</v>
      </c>
      <c r="F517" s="7" t="str">
        <f>"Club de judo St-Jean Bosco de Hull"</f>
        <v>Club de judo St-Jean Bosco de Hull</v>
      </c>
      <c r="G517" s="7" t="str">
        <f t="shared" si="102"/>
        <v>-57kg</v>
      </c>
      <c r="H517" s="7" t="str">
        <f>"0207523"</f>
        <v>0207523</v>
      </c>
      <c r="I517" s="7" t="str">
        <f t="shared" ref="I517:I525" si="103">"QC"</f>
        <v>QC</v>
      </c>
      <c r="J517" s="7" t="s">
        <v>167</v>
      </c>
      <c r="K517" s="7" t="str">
        <f>""</f>
        <v/>
      </c>
      <c r="L517" s="7" t="str">
        <f>""</f>
        <v/>
      </c>
      <c r="M517" s="7" t="s">
        <v>247</v>
      </c>
      <c r="N517" s="7"/>
    </row>
    <row r="518" spans="1:14" x14ac:dyDescent="0.25">
      <c r="A518" s="7" t="str">
        <f>"Rania"</f>
        <v>Rania</v>
      </c>
      <c r="B518" s="7" t="str">
        <f>"Alaoui Yazidi"</f>
        <v>Alaoui Yazidi</v>
      </c>
      <c r="C518" s="7" t="str">
        <f t="shared" si="101"/>
        <v>F</v>
      </c>
      <c r="D518" s="7" t="str">
        <f t="shared" si="99"/>
        <v>U18</v>
      </c>
      <c r="E518" s="2">
        <v>2003</v>
      </c>
      <c r="F518" s="7" t="str">
        <f>"Budokan Saint-Laurent"</f>
        <v>Budokan Saint-Laurent</v>
      </c>
      <c r="G518" s="7" t="str">
        <f t="shared" si="102"/>
        <v>-57kg</v>
      </c>
      <c r="H518" s="7" t="str">
        <f>"0188083"</f>
        <v>0188083</v>
      </c>
      <c r="I518" s="7" t="str">
        <f t="shared" si="103"/>
        <v>QC</v>
      </c>
      <c r="J518" s="7" t="s">
        <v>167</v>
      </c>
      <c r="K518" s="7" t="str">
        <f>""</f>
        <v/>
      </c>
      <c r="L518" s="7" t="str">
        <f>""</f>
        <v/>
      </c>
      <c r="M518" s="7" t="s">
        <v>247</v>
      </c>
      <c r="N518" s="7"/>
    </row>
    <row r="519" spans="1:14" x14ac:dyDescent="0.25">
      <c r="A519" s="7" t="str">
        <f>"Adele"</f>
        <v>Adele</v>
      </c>
      <c r="B519" s="7" t="str">
        <f>"Charneau"</f>
        <v>Charneau</v>
      </c>
      <c r="C519" s="7" t="str">
        <f t="shared" si="101"/>
        <v>F</v>
      </c>
      <c r="D519" s="7" t="str">
        <f t="shared" si="99"/>
        <v>U18</v>
      </c>
      <c r="E519" s="2">
        <v>2005</v>
      </c>
      <c r="F519" s="7" t="str">
        <f>"Club de judo St-Paul l'Ermite"</f>
        <v>Club de judo St-Paul l'Ermite</v>
      </c>
      <c r="G519" s="7" t="str">
        <f t="shared" si="102"/>
        <v>-57kg</v>
      </c>
      <c r="H519" s="7" t="str">
        <f>"0189040"</f>
        <v>0189040</v>
      </c>
      <c r="I519" s="7" t="str">
        <f t="shared" si="103"/>
        <v>QC</v>
      </c>
      <c r="J519" s="7" t="s">
        <v>163</v>
      </c>
      <c r="K519" s="7" t="str">
        <f>""</f>
        <v/>
      </c>
      <c r="L519" s="7" t="str">
        <f>""</f>
        <v/>
      </c>
      <c r="M519" s="7" t="s">
        <v>247</v>
      </c>
      <c r="N519" s="7"/>
    </row>
    <row r="520" spans="1:14" x14ac:dyDescent="0.25">
      <c r="A520" s="7" t="str">
        <f>"Juliette"</f>
        <v>Juliette</v>
      </c>
      <c r="B520" s="7" t="str">
        <f>"Mireault"</f>
        <v>Mireault</v>
      </c>
      <c r="C520" s="7" t="str">
        <f t="shared" si="101"/>
        <v>F</v>
      </c>
      <c r="D520" s="7" t="str">
        <f t="shared" si="99"/>
        <v>U18</v>
      </c>
      <c r="E520" s="2">
        <v>2002</v>
      </c>
      <c r="F520" s="7" t="str">
        <f>"Club de judo Torakai"</f>
        <v>Club de judo Torakai</v>
      </c>
      <c r="G520" s="7" t="str">
        <f t="shared" si="102"/>
        <v>-57kg</v>
      </c>
      <c r="H520" s="7" t="str">
        <f>"0221549"</f>
        <v>0221549</v>
      </c>
      <c r="I520" s="7" t="str">
        <f t="shared" si="103"/>
        <v>QC</v>
      </c>
      <c r="J520" s="7" t="s">
        <v>167</v>
      </c>
      <c r="K520" s="7" t="str">
        <f>""</f>
        <v/>
      </c>
      <c r="L520" s="7" t="str">
        <f>""</f>
        <v/>
      </c>
      <c r="M520" s="7" t="s">
        <v>247</v>
      </c>
      <c r="N520" s="7"/>
    </row>
    <row r="521" spans="1:14" x14ac:dyDescent="0.25">
      <c r="A521" s="7" t="str">
        <f>"Florence"</f>
        <v>Florence</v>
      </c>
      <c r="B521" s="7" t="str">
        <f>"Salvas"</f>
        <v>Salvas</v>
      </c>
      <c r="C521" s="7" t="str">
        <f t="shared" si="101"/>
        <v>F</v>
      </c>
      <c r="D521" s="7" t="str">
        <f t="shared" si="99"/>
        <v>U18</v>
      </c>
      <c r="E521" s="2">
        <v>2003</v>
      </c>
      <c r="F521" s="7" t="str">
        <f>"Club de judo de Varennes"</f>
        <v>Club de judo de Varennes</v>
      </c>
      <c r="G521" s="7" t="str">
        <f t="shared" si="102"/>
        <v>-57kg</v>
      </c>
      <c r="H521" s="7" t="str">
        <f>"0206295"</f>
        <v>0206295</v>
      </c>
      <c r="I521" s="7" t="str">
        <f t="shared" si="103"/>
        <v>QC</v>
      </c>
      <c r="J521" s="7" t="s">
        <v>167</v>
      </c>
      <c r="K521" s="7" t="str">
        <f>""</f>
        <v/>
      </c>
      <c r="L521" s="7" t="str">
        <f>""</f>
        <v/>
      </c>
      <c r="M521" s="7" t="s">
        <v>247</v>
      </c>
      <c r="N521" s="7"/>
    </row>
    <row r="522" spans="1:14" x14ac:dyDescent="0.25">
      <c r="A522" s="4" t="str">
        <f>"Elodie"</f>
        <v>Elodie</v>
      </c>
      <c r="B522" s="4" t="str">
        <f>"Massicotte"</f>
        <v>Massicotte</v>
      </c>
      <c r="C522" s="4" t="str">
        <f t="shared" si="101"/>
        <v>F</v>
      </c>
      <c r="D522" s="4" t="str">
        <f t="shared" si="99"/>
        <v>U18</v>
      </c>
      <c r="E522" s="2">
        <v>2003</v>
      </c>
      <c r="F522" s="4" t="str">
        <f>"Club de judo Seïkidokan inc."</f>
        <v>Club de judo Seïkidokan inc.</v>
      </c>
      <c r="G522" s="4" t="str">
        <f>"-63kg"</f>
        <v>-63kg</v>
      </c>
      <c r="H522" s="4" t="str">
        <f>"0232051"</f>
        <v>0232051</v>
      </c>
      <c r="I522" s="4" t="str">
        <f t="shared" si="103"/>
        <v>QC</v>
      </c>
      <c r="J522" s="4" t="s">
        <v>171</v>
      </c>
      <c r="K522" s="4" t="str">
        <f>""</f>
        <v/>
      </c>
      <c r="L522" s="4" t="s">
        <v>180</v>
      </c>
      <c r="M522" s="4" t="s">
        <v>245</v>
      </c>
    </row>
    <row r="523" spans="1:14" x14ac:dyDescent="0.25">
      <c r="A523" s="4" t="str">
        <f>"Miranda"</f>
        <v>Miranda</v>
      </c>
      <c r="B523" s="4" t="str">
        <f>"St-Laurent"</f>
        <v>St-Laurent</v>
      </c>
      <c r="C523" s="4" t="str">
        <f t="shared" si="101"/>
        <v>F</v>
      </c>
      <c r="D523" s="4" t="str">
        <f t="shared" si="99"/>
        <v>U18</v>
      </c>
      <c r="E523" s="2">
        <v>2003</v>
      </c>
      <c r="F523" s="4" t="str">
        <f>"Club de judo Torakai"</f>
        <v>Club de judo Torakai</v>
      </c>
      <c r="G523" s="4" t="str">
        <f>"-70kg"</f>
        <v>-70kg</v>
      </c>
      <c r="H523" s="4" t="str">
        <f>"0186242"</f>
        <v>0186242</v>
      </c>
      <c r="I523" s="4" t="str">
        <f t="shared" si="103"/>
        <v>QC</v>
      </c>
      <c r="J523" s="4" t="s">
        <v>164</v>
      </c>
      <c r="K523" s="4" t="s">
        <v>151</v>
      </c>
      <c r="L523" s="4" t="s">
        <v>180</v>
      </c>
      <c r="M523" s="4" t="s">
        <v>250</v>
      </c>
      <c r="N523" s="4"/>
    </row>
    <row r="524" spans="1:14" x14ac:dyDescent="0.25">
      <c r="A524" s="4" t="str">
        <f>"Victor"</f>
        <v>Victor</v>
      </c>
      <c r="B524" s="4" t="str">
        <f>"Roy"</f>
        <v>Roy</v>
      </c>
      <c r="C524" s="4" t="str">
        <f>"M"</f>
        <v>M</v>
      </c>
      <c r="D524" s="4" t="str">
        <f t="shared" si="99"/>
        <v>U18</v>
      </c>
      <c r="E524" s="2">
        <v>2003</v>
      </c>
      <c r="F524" s="4" t="str">
        <f>"Club de Judo d'Asbestos-Danville"</f>
        <v>Club de Judo d'Asbestos-Danville</v>
      </c>
      <c r="G524" s="4" t="str">
        <f>"-46kg"</f>
        <v>-46kg</v>
      </c>
      <c r="H524" s="4" t="str">
        <f>"0162278"</f>
        <v>0162278</v>
      </c>
      <c r="I524" s="4" t="str">
        <f t="shared" si="103"/>
        <v>QC</v>
      </c>
      <c r="J524" s="4" t="s">
        <v>167</v>
      </c>
      <c r="K524" s="4" t="s">
        <v>151</v>
      </c>
      <c r="L524" s="4" t="s">
        <v>151</v>
      </c>
      <c r="M524" s="4" t="s">
        <v>254</v>
      </c>
      <c r="N524" s="4"/>
    </row>
    <row r="525" spans="1:14" x14ac:dyDescent="0.25">
      <c r="A525" s="7" t="str">
        <f>"William"</f>
        <v>William</v>
      </c>
      <c r="B525" s="7" t="str">
        <f>"Abraini"</f>
        <v>Abraini</v>
      </c>
      <c r="C525" s="7" t="str">
        <f>"M"</f>
        <v>M</v>
      </c>
      <c r="D525" s="7" t="str">
        <f t="shared" si="99"/>
        <v>U18</v>
      </c>
      <c r="E525" s="2">
        <v>2003</v>
      </c>
      <c r="F525" s="7" t="str">
        <f>"Club de judo de la vieille capitale"</f>
        <v>Club de judo de la vieille capitale</v>
      </c>
      <c r="G525" s="7" t="str">
        <f>"-50kg"</f>
        <v>-50kg</v>
      </c>
      <c r="H525" s="7" t="str">
        <f>"0176333"</f>
        <v>0176333</v>
      </c>
      <c r="I525" s="7" t="str">
        <f t="shared" si="103"/>
        <v>QC</v>
      </c>
      <c r="J525" s="7" t="s">
        <v>167</v>
      </c>
      <c r="K525" s="7" t="str">
        <f>""</f>
        <v/>
      </c>
      <c r="L525" s="7" t="str">
        <f>""</f>
        <v/>
      </c>
      <c r="M525" s="7" t="s">
        <v>257</v>
      </c>
      <c r="N525" s="7"/>
    </row>
    <row r="526" spans="1:14" x14ac:dyDescent="0.25">
      <c r="A526" s="7" t="s">
        <v>83</v>
      </c>
      <c r="B526" s="7" t="s">
        <v>84</v>
      </c>
      <c r="C526" s="7" t="s">
        <v>13</v>
      </c>
      <c r="D526" s="7" t="str">
        <f t="shared" si="99"/>
        <v>U18</v>
      </c>
      <c r="E526" s="2">
        <v>2004</v>
      </c>
      <c r="F526" s="7" t="s">
        <v>78</v>
      </c>
      <c r="G526" s="7" t="s">
        <v>85</v>
      </c>
      <c r="H526" s="7" t="s">
        <v>86</v>
      </c>
      <c r="I526" s="7" t="s">
        <v>17</v>
      </c>
      <c r="J526" s="7" t="s">
        <v>167</v>
      </c>
      <c r="K526" s="7" t="s">
        <v>10</v>
      </c>
      <c r="L526" s="7" t="s">
        <v>10</v>
      </c>
      <c r="M526" s="7" t="s">
        <v>257</v>
      </c>
      <c r="N526" s="7"/>
    </row>
    <row r="527" spans="1:14" x14ac:dyDescent="0.25">
      <c r="A527" s="7" t="str">
        <f>"Louis"</f>
        <v>Louis</v>
      </c>
      <c r="B527" s="7" t="str">
        <f>"Gagnon"</f>
        <v>Gagnon</v>
      </c>
      <c r="C527" s="7" t="str">
        <f>"M"</f>
        <v>M</v>
      </c>
      <c r="D527" s="7" t="str">
        <f t="shared" si="99"/>
        <v>U18</v>
      </c>
      <c r="E527" s="2">
        <v>2003</v>
      </c>
      <c r="F527" s="7" t="str">
        <f>"Club de judo Torii"</f>
        <v>Club de judo Torii</v>
      </c>
      <c r="G527" s="7" t="str">
        <f>"-50kg"</f>
        <v>-50kg</v>
      </c>
      <c r="H527" s="7" t="str">
        <f>"0175721"</f>
        <v>0175721</v>
      </c>
      <c r="I527" s="7" t="str">
        <f>"QC"</f>
        <v>QC</v>
      </c>
      <c r="J527" s="7" t="s">
        <v>175</v>
      </c>
      <c r="K527" s="7" t="str">
        <f>""</f>
        <v/>
      </c>
      <c r="L527" s="7" t="str">
        <f>""</f>
        <v/>
      </c>
      <c r="M527" s="7" t="s">
        <v>257</v>
      </c>
      <c r="N527" s="7"/>
    </row>
    <row r="528" spans="1:14" x14ac:dyDescent="0.25">
      <c r="A528" s="7" t="str">
        <f>"Olivier"</f>
        <v>Olivier</v>
      </c>
      <c r="B528" s="7" t="str">
        <f>"Gagnon"</f>
        <v>Gagnon</v>
      </c>
      <c r="C528" s="7" t="str">
        <f>"M"</f>
        <v>M</v>
      </c>
      <c r="D528" s="7" t="str">
        <f t="shared" si="99"/>
        <v>U18</v>
      </c>
      <c r="E528" s="2">
        <v>2003</v>
      </c>
      <c r="F528" s="7" t="str">
        <f>"Club judokas Jonquière inc."</f>
        <v>Club judokas Jonquière inc.</v>
      </c>
      <c r="G528" s="7" t="str">
        <f>"-50kg"</f>
        <v>-50kg</v>
      </c>
      <c r="H528" s="7" t="str">
        <f>"0184262"</f>
        <v>0184262</v>
      </c>
      <c r="I528" s="7" t="str">
        <f>"QC"</f>
        <v>QC</v>
      </c>
      <c r="J528" s="7" t="s">
        <v>167</v>
      </c>
      <c r="K528" s="7" t="str">
        <f>""</f>
        <v/>
      </c>
      <c r="L528" s="7" t="str">
        <f>""</f>
        <v/>
      </c>
      <c r="M528" s="7" t="s">
        <v>257</v>
      </c>
      <c r="N528" s="7"/>
    </row>
    <row r="529" spans="1:14" x14ac:dyDescent="0.25">
      <c r="A529" s="6" t="str">
        <f>"Norbert Peter"</f>
        <v>Norbert Peter</v>
      </c>
      <c r="B529" s="6" t="str">
        <f>"Andras"</f>
        <v>Andras</v>
      </c>
      <c r="C529" s="6" t="str">
        <f>"M"</f>
        <v>M</v>
      </c>
      <c r="D529" s="6" t="str">
        <f t="shared" si="99"/>
        <v>U18</v>
      </c>
      <c r="E529" s="2">
        <v>2004</v>
      </c>
      <c r="F529" s="6" t="str">
        <f>"Club de judo Métropolitain inc."</f>
        <v>Club de judo Métropolitain inc.</v>
      </c>
      <c r="G529" s="6" t="str">
        <f>"-55kg"</f>
        <v>-55kg</v>
      </c>
      <c r="H529" s="6" t="str">
        <f>"0223679"</f>
        <v>0223679</v>
      </c>
      <c r="I529" s="6" t="str">
        <f>"QC"</f>
        <v>QC</v>
      </c>
      <c r="J529" s="6" t="s">
        <v>167</v>
      </c>
      <c r="K529" s="6" t="str">
        <f>""</f>
        <v/>
      </c>
      <c r="L529" s="6" t="str">
        <f>""</f>
        <v/>
      </c>
      <c r="M529" s="6" t="s">
        <v>255</v>
      </c>
      <c r="N529" s="6"/>
    </row>
    <row r="530" spans="1:14" x14ac:dyDescent="0.25">
      <c r="A530" s="6" t="str">
        <f>"Jasmin"</f>
        <v>Jasmin</v>
      </c>
      <c r="B530" s="6" t="str">
        <f>"Bélanger"</f>
        <v>Bélanger</v>
      </c>
      <c r="C530" s="6" t="str">
        <f>"M"</f>
        <v>M</v>
      </c>
      <c r="D530" s="6" t="str">
        <f t="shared" si="99"/>
        <v>U18</v>
      </c>
      <c r="E530" s="2">
        <v>2002</v>
      </c>
      <c r="F530" s="6" t="str">
        <f>"Club de judo Seïkidokan inc."</f>
        <v>Club de judo Seïkidokan inc.</v>
      </c>
      <c r="G530" s="6" t="str">
        <f>"-55kg"</f>
        <v>-55kg</v>
      </c>
      <c r="H530" s="6" t="str">
        <f>"0181056"</f>
        <v>0181056</v>
      </c>
      <c r="I530" s="6" t="str">
        <f>"QC"</f>
        <v>QC</v>
      </c>
      <c r="J530" s="6" t="s">
        <v>167</v>
      </c>
      <c r="K530" s="6" t="str">
        <f>""</f>
        <v/>
      </c>
      <c r="L530" s="6" t="str">
        <f>""</f>
        <v/>
      </c>
      <c r="M530" s="6" t="s">
        <v>255</v>
      </c>
      <c r="N530" s="6"/>
    </row>
    <row r="531" spans="1:14" x14ac:dyDescent="0.25">
      <c r="A531" s="6" t="s">
        <v>27</v>
      </c>
      <c r="B531" s="6" t="s">
        <v>28</v>
      </c>
      <c r="C531" s="6" t="s">
        <v>13</v>
      </c>
      <c r="D531" s="6" t="str">
        <f t="shared" si="99"/>
        <v>U18</v>
      </c>
      <c r="E531" s="2">
        <v>2003</v>
      </c>
      <c r="F531" s="6" t="s">
        <v>29</v>
      </c>
      <c r="G531" s="6" t="s">
        <v>30</v>
      </c>
      <c r="H531" s="6" t="s">
        <v>31</v>
      </c>
      <c r="I531" s="6" t="s">
        <v>17</v>
      </c>
      <c r="J531" s="6" t="s">
        <v>167</v>
      </c>
      <c r="K531" s="6" t="s">
        <v>10</v>
      </c>
      <c r="L531" s="6" t="s">
        <v>10</v>
      </c>
      <c r="M531" s="6" t="s">
        <v>255</v>
      </c>
      <c r="N531" s="6"/>
    </row>
    <row r="532" spans="1:14" x14ac:dyDescent="0.25">
      <c r="A532" s="6" t="str">
        <f>"Gaël"</f>
        <v>Gaël</v>
      </c>
      <c r="B532" s="6" t="str">
        <f>"Blouin-Gamache"</f>
        <v>Blouin-Gamache</v>
      </c>
      <c r="C532" s="6" t="str">
        <f>"M"</f>
        <v>M</v>
      </c>
      <c r="D532" s="6" t="str">
        <f t="shared" ref="D532:D563" si="104">"U18"</f>
        <v>U18</v>
      </c>
      <c r="E532" s="2">
        <v>2003</v>
      </c>
      <c r="F532" s="6" t="str">
        <f>"Club de judo Vallée du Richelieu"</f>
        <v>Club de judo Vallée du Richelieu</v>
      </c>
      <c r="G532" s="6" t="str">
        <f>"-55kg"</f>
        <v>-55kg</v>
      </c>
      <c r="H532" s="6" t="str">
        <f>"0160753"</f>
        <v>0160753</v>
      </c>
      <c r="I532" s="6" t="str">
        <f>"QC"</f>
        <v>QC</v>
      </c>
      <c r="J532" s="6" t="s">
        <v>167</v>
      </c>
      <c r="K532" s="6" t="str">
        <f>""</f>
        <v/>
      </c>
      <c r="L532" s="6" t="str">
        <f>""</f>
        <v/>
      </c>
      <c r="M532" s="6" t="s">
        <v>255</v>
      </c>
      <c r="N532" s="6"/>
    </row>
    <row r="533" spans="1:14" x14ac:dyDescent="0.25">
      <c r="A533" s="6" t="str">
        <f>"Frederic"</f>
        <v>Frederic</v>
      </c>
      <c r="B533" s="6" t="str">
        <f>"Bonney"</f>
        <v>Bonney</v>
      </c>
      <c r="C533" s="6" t="str">
        <f>"M"</f>
        <v>M</v>
      </c>
      <c r="D533" s="6" t="str">
        <f t="shared" si="104"/>
        <v>U18</v>
      </c>
      <c r="E533" s="2">
        <v>2003</v>
      </c>
      <c r="F533" s="6" t="str">
        <f>"Club de Judo centre Multisports"</f>
        <v>Club de Judo centre Multisports</v>
      </c>
      <c r="G533" s="6" t="str">
        <f>"-55kg"</f>
        <v>-55kg</v>
      </c>
      <c r="H533" s="6" t="str">
        <f>"0206592"</f>
        <v>0206592</v>
      </c>
      <c r="I533" s="6" t="str">
        <f>"QC"</f>
        <v>QC</v>
      </c>
      <c r="J533" s="6" t="s">
        <v>163</v>
      </c>
      <c r="K533" s="6" t="str">
        <f>""</f>
        <v/>
      </c>
      <c r="L533" s="6" t="str">
        <f>""</f>
        <v/>
      </c>
      <c r="M533" s="6" t="s">
        <v>255</v>
      </c>
      <c r="N533" s="6"/>
    </row>
    <row r="534" spans="1:14" x14ac:dyDescent="0.25">
      <c r="A534" s="6" t="s">
        <v>32</v>
      </c>
      <c r="B534" s="6" t="s">
        <v>33</v>
      </c>
      <c r="C534" s="6" t="s">
        <v>13</v>
      </c>
      <c r="D534" s="6" t="str">
        <f t="shared" si="104"/>
        <v>U18</v>
      </c>
      <c r="E534" s="2">
        <v>2004</v>
      </c>
      <c r="F534" s="6" t="s">
        <v>34</v>
      </c>
      <c r="G534" s="6" t="s">
        <v>30</v>
      </c>
      <c r="H534" s="6" t="s">
        <v>35</v>
      </c>
      <c r="I534" s="6" t="s">
        <v>17</v>
      </c>
      <c r="J534" s="6" t="s">
        <v>167</v>
      </c>
      <c r="K534" s="6" t="s">
        <v>10</v>
      </c>
      <c r="L534" s="6" t="s">
        <v>10</v>
      </c>
      <c r="M534" s="6" t="s">
        <v>255</v>
      </c>
      <c r="N534" s="6"/>
    </row>
    <row r="535" spans="1:14" x14ac:dyDescent="0.25">
      <c r="A535" s="6" t="str">
        <f>"Frédéric"</f>
        <v>Frédéric</v>
      </c>
      <c r="B535" s="6" t="str">
        <f>"De Cardaillac"</f>
        <v>De Cardaillac</v>
      </c>
      <c r="C535" s="6" t="str">
        <f>"M"</f>
        <v>M</v>
      </c>
      <c r="D535" s="6" t="str">
        <f t="shared" si="104"/>
        <v>U18</v>
      </c>
      <c r="E535" s="2">
        <v>2003</v>
      </c>
      <c r="F535" s="6" t="str">
        <f>"Club de judo Shidokan inc."</f>
        <v>Club de judo Shidokan inc.</v>
      </c>
      <c r="G535" s="6" t="str">
        <f>"-55kg"</f>
        <v>-55kg</v>
      </c>
      <c r="H535" s="6" t="str">
        <f>"0166029"</f>
        <v>0166029</v>
      </c>
      <c r="I535" s="6" t="str">
        <f>"QC"</f>
        <v>QC</v>
      </c>
      <c r="J535" s="6" t="s">
        <v>167</v>
      </c>
      <c r="K535" s="6" t="str">
        <f>""</f>
        <v/>
      </c>
      <c r="L535" s="6" t="str">
        <f>""</f>
        <v/>
      </c>
      <c r="M535" s="6" t="s">
        <v>255</v>
      </c>
      <c r="N535" s="6"/>
    </row>
    <row r="536" spans="1:14" x14ac:dyDescent="0.25">
      <c r="A536" s="6" t="str">
        <f>"Julien"</f>
        <v>Julien</v>
      </c>
      <c r="B536" s="6" t="str">
        <f>"Fraser"</f>
        <v>Fraser</v>
      </c>
      <c r="C536" s="6" t="str">
        <f>"M"</f>
        <v>M</v>
      </c>
      <c r="D536" s="6" t="str">
        <f t="shared" si="104"/>
        <v>U18</v>
      </c>
      <c r="E536" s="2">
        <v>2003</v>
      </c>
      <c r="F536" s="6" t="str">
        <f>"Club de judo de la vieille capitale"</f>
        <v>Club de judo de la vieille capitale</v>
      </c>
      <c r="G536" s="6" t="str">
        <f>"-55kg"</f>
        <v>-55kg</v>
      </c>
      <c r="H536" s="6" t="str">
        <f>"0165553"</f>
        <v>0165553</v>
      </c>
      <c r="I536" s="6" t="str">
        <f>"QC"</f>
        <v>QC</v>
      </c>
      <c r="J536" s="6" t="s">
        <v>167</v>
      </c>
      <c r="K536" s="6" t="str">
        <f>""</f>
        <v/>
      </c>
      <c r="L536" s="6" t="str">
        <f>""</f>
        <v/>
      </c>
      <c r="M536" s="6" t="s">
        <v>255</v>
      </c>
      <c r="N536" s="6"/>
    </row>
    <row r="537" spans="1:14" x14ac:dyDescent="0.25">
      <c r="A537" s="6" t="str">
        <f>"Thomas"</f>
        <v>Thomas</v>
      </c>
      <c r="B537" s="6" t="str">
        <f>"Ganet"</f>
        <v>Ganet</v>
      </c>
      <c r="C537" s="6" t="str">
        <f>"M"</f>
        <v>M</v>
      </c>
      <c r="D537" s="6" t="str">
        <f t="shared" si="104"/>
        <v>U18</v>
      </c>
      <c r="E537" s="2">
        <v>2003</v>
      </c>
      <c r="F537" s="6" t="str">
        <f>"Dojo Zenshin"</f>
        <v>Dojo Zenshin</v>
      </c>
      <c r="G537" s="6" t="str">
        <f>"-55kg"</f>
        <v>-55kg</v>
      </c>
      <c r="H537" s="6" t="str">
        <f>"0229649"</f>
        <v>0229649</v>
      </c>
      <c r="I537" s="6" t="str">
        <f>"QC"</f>
        <v>QC</v>
      </c>
      <c r="J537" s="6" t="s">
        <v>167</v>
      </c>
      <c r="K537" s="6" t="str">
        <f>""</f>
        <v/>
      </c>
      <c r="L537" s="6" t="str">
        <f>""</f>
        <v/>
      </c>
      <c r="M537" s="6" t="s">
        <v>255</v>
      </c>
      <c r="N537" s="6"/>
    </row>
    <row r="538" spans="1:14" x14ac:dyDescent="0.25">
      <c r="A538" s="6" t="str">
        <f>"Marcelin"</f>
        <v>Marcelin</v>
      </c>
      <c r="B538" s="6" t="str">
        <f>"Gosset"</f>
        <v>Gosset</v>
      </c>
      <c r="C538" s="6" t="str">
        <f>"M"</f>
        <v>M</v>
      </c>
      <c r="D538" s="6" t="str">
        <f t="shared" si="104"/>
        <v>U18</v>
      </c>
      <c r="E538" s="2">
        <v>2003</v>
      </c>
      <c r="F538" s="6" t="str">
        <f>"Club de judo Shidokan inc."</f>
        <v>Club de judo Shidokan inc.</v>
      </c>
      <c r="G538" s="6" t="str">
        <f>"-55kg"</f>
        <v>-55kg</v>
      </c>
      <c r="H538" s="6" t="str">
        <f>"0214622"</f>
        <v>0214622</v>
      </c>
      <c r="I538" s="6" t="str">
        <f>"QC"</f>
        <v>QC</v>
      </c>
      <c r="J538" s="6" t="s">
        <v>167</v>
      </c>
      <c r="K538" s="6" t="str">
        <f>""</f>
        <v/>
      </c>
      <c r="L538" s="6" t="str">
        <f>""</f>
        <v/>
      </c>
      <c r="M538" s="6" t="s">
        <v>255</v>
      </c>
      <c r="N538" s="6"/>
    </row>
    <row r="539" spans="1:14" x14ac:dyDescent="0.25">
      <c r="A539" s="6" t="s">
        <v>76</v>
      </c>
      <c r="B539" s="6" t="s">
        <v>77</v>
      </c>
      <c r="C539" s="6" t="s">
        <v>13</v>
      </c>
      <c r="D539" s="6" t="str">
        <f t="shared" si="104"/>
        <v>U18</v>
      </c>
      <c r="E539" s="2">
        <v>2004</v>
      </c>
      <c r="F539" s="6" t="s">
        <v>78</v>
      </c>
      <c r="G539" s="6" t="s">
        <v>30</v>
      </c>
      <c r="H539" s="6" t="s">
        <v>79</v>
      </c>
      <c r="I539" s="6" t="s">
        <v>17</v>
      </c>
      <c r="J539" s="6" t="s">
        <v>164</v>
      </c>
      <c r="K539" s="6" t="s">
        <v>10</v>
      </c>
      <c r="L539" s="6" t="s">
        <v>10</v>
      </c>
      <c r="M539" s="6" t="s">
        <v>255</v>
      </c>
      <c r="N539" s="6"/>
    </row>
    <row r="540" spans="1:14" x14ac:dyDescent="0.25">
      <c r="A540" s="6" t="s">
        <v>43</v>
      </c>
      <c r="B540" s="6" t="s">
        <v>44</v>
      </c>
      <c r="C540" s="6" t="s">
        <v>13</v>
      </c>
      <c r="D540" s="6" t="str">
        <f t="shared" si="104"/>
        <v>U18</v>
      </c>
      <c r="E540" s="2">
        <v>2004</v>
      </c>
      <c r="F540" s="6" t="s">
        <v>14</v>
      </c>
      <c r="G540" s="6" t="s">
        <v>30</v>
      </c>
      <c r="H540" s="6" t="s">
        <v>45</v>
      </c>
      <c r="I540" s="6" t="s">
        <v>17</v>
      </c>
      <c r="J540" s="6" t="s">
        <v>167</v>
      </c>
      <c r="K540" s="6" t="s">
        <v>10</v>
      </c>
      <c r="L540" s="6" t="s">
        <v>10</v>
      </c>
      <c r="M540" s="6" t="s">
        <v>255</v>
      </c>
      <c r="N540" s="6"/>
    </row>
    <row r="541" spans="1:14" x14ac:dyDescent="0.25">
      <c r="A541" s="5" t="str">
        <f>"Mattew"</f>
        <v>Mattew</v>
      </c>
      <c r="B541" s="5" t="str">
        <f>"Pearson"</f>
        <v>Pearson</v>
      </c>
      <c r="C541" s="5" t="str">
        <f>"M"</f>
        <v>M</v>
      </c>
      <c r="D541" s="5" t="str">
        <f t="shared" si="104"/>
        <v>U18</v>
      </c>
      <c r="E541" s="2">
        <v>2002</v>
      </c>
      <c r="F541" s="5" t="str">
        <f>"Judo Univestrie/donini"</f>
        <v>Judo Univestrie/donini</v>
      </c>
      <c r="G541" s="5" t="str">
        <f>"-60kg"</f>
        <v>-60kg</v>
      </c>
      <c r="H541" s="5" t="str">
        <f>"0408017"</f>
        <v>0408017</v>
      </c>
      <c r="I541" s="5" t="str">
        <f>"QC"</f>
        <v>QC</v>
      </c>
      <c r="J541" s="5" t="s">
        <v>165</v>
      </c>
      <c r="K541" s="5" t="str">
        <f>""</f>
        <v/>
      </c>
      <c r="L541" s="5" t="str">
        <f>""</f>
        <v/>
      </c>
      <c r="M541" s="5" t="s">
        <v>251</v>
      </c>
      <c r="N541" s="5"/>
    </row>
    <row r="542" spans="1:14" x14ac:dyDescent="0.25">
      <c r="A542" s="5" t="str">
        <f>"Redouane"</f>
        <v>Redouane</v>
      </c>
      <c r="B542" s="5" t="str">
        <f>"Sahki"</f>
        <v>Sahki</v>
      </c>
      <c r="C542" s="5" t="str">
        <f>"M"</f>
        <v>M</v>
      </c>
      <c r="D542" s="5" t="str">
        <f t="shared" si="104"/>
        <v>U18</v>
      </c>
      <c r="E542" s="2">
        <v>2003</v>
      </c>
      <c r="F542" s="5" t="str">
        <f>"Kiseki Judo"</f>
        <v>Kiseki Judo</v>
      </c>
      <c r="G542" s="5" t="str">
        <f>"-60kg"</f>
        <v>-60kg</v>
      </c>
      <c r="H542" s="5" t="str">
        <f>"0413111"</f>
        <v>0413111</v>
      </c>
      <c r="I542" s="5" t="str">
        <f>"QC"</f>
        <v>QC</v>
      </c>
      <c r="J542" s="5" t="s">
        <v>165</v>
      </c>
      <c r="K542" s="5" t="str">
        <f>""</f>
        <v/>
      </c>
      <c r="L542" s="5" t="str">
        <f>""</f>
        <v/>
      </c>
      <c r="M542" s="5" t="s">
        <v>251</v>
      </c>
      <c r="N542" s="5"/>
    </row>
    <row r="543" spans="1:14" x14ac:dyDescent="0.25">
      <c r="A543" s="7" t="str">
        <f>"John"</f>
        <v>John</v>
      </c>
      <c r="B543" s="7" t="str">
        <f>"Abraini"</f>
        <v>Abraini</v>
      </c>
      <c r="C543" s="7" t="str">
        <f>"M"</f>
        <v>M</v>
      </c>
      <c r="D543" s="7" t="str">
        <f t="shared" si="104"/>
        <v>U18</v>
      </c>
      <c r="E543" s="2">
        <v>2003</v>
      </c>
      <c r="F543" s="7" t="str">
        <f>"Club de judo de la vieille capitale"</f>
        <v>Club de judo de la vieille capitale</v>
      </c>
      <c r="G543" s="7" t="str">
        <f>"-60kg"</f>
        <v>-60kg</v>
      </c>
      <c r="H543" s="7" t="str">
        <f>"0176332"</f>
        <v>0176332</v>
      </c>
      <c r="I543" s="7" t="str">
        <f>"QC"</f>
        <v>QC</v>
      </c>
      <c r="J543" s="7" t="s">
        <v>167</v>
      </c>
      <c r="K543" s="7" t="str">
        <f>""</f>
        <v/>
      </c>
      <c r="L543" s="7" t="str">
        <f>""</f>
        <v/>
      </c>
      <c r="M543" s="7" t="s">
        <v>256</v>
      </c>
      <c r="N543" s="7"/>
    </row>
    <row r="544" spans="1:14" x14ac:dyDescent="0.25">
      <c r="A544" s="7" t="str">
        <f>"Mathias"</f>
        <v>Mathias</v>
      </c>
      <c r="B544" s="7" t="str">
        <f>"Barsalou"</f>
        <v>Barsalou</v>
      </c>
      <c r="C544" s="7" t="str">
        <f>"M"</f>
        <v>M</v>
      </c>
      <c r="D544" s="7" t="str">
        <f t="shared" si="104"/>
        <v>U18</v>
      </c>
      <c r="E544" s="2">
        <v>2003</v>
      </c>
      <c r="F544" s="7" t="str">
        <f>"Club de judo Judo-Tech"</f>
        <v>Club de judo Judo-Tech</v>
      </c>
      <c r="G544" s="7" t="str">
        <f>"-60kg"</f>
        <v>-60kg</v>
      </c>
      <c r="H544" s="7" t="str">
        <f>"0176819"</f>
        <v>0176819</v>
      </c>
      <c r="I544" s="7" t="str">
        <f>"QC"</f>
        <v>QC</v>
      </c>
      <c r="J544" s="7" t="s">
        <v>167</v>
      </c>
      <c r="K544" s="7" t="str">
        <f>""</f>
        <v/>
      </c>
      <c r="L544" s="7" t="str">
        <f>""</f>
        <v/>
      </c>
      <c r="M544" s="7" t="s">
        <v>256</v>
      </c>
      <c r="N544" s="7"/>
    </row>
    <row r="545" spans="1:14" x14ac:dyDescent="0.25">
      <c r="A545" s="7" t="str">
        <f>"Félix"</f>
        <v>Félix</v>
      </c>
      <c r="B545" s="7" t="str">
        <f>"Desnoyers"</f>
        <v>Desnoyers</v>
      </c>
      <c r="C545" s="7" t="str">
        <f>"M"</f>
        <v>M</v>
      </c>
      <c r="D545" s="7" t="str">
        <f t="shared" si="104"/>
        <v>U18</v>
      </c>
      <c r="E545" s="2">
        <v>2002</v>
      </c>
      <c r="F545" s="7" t="str">
        <f>"Club de judo Saint-Hyacinthe Inc."</f>
        <v>Club de judo Saint-Hyacinthe Inc.</v>
      </c>
      <c r="G545" s="7" t="str">
        <f>"-60kg"</f>
        <v>-60kg</v>
      </c>
      <c r="H545" s="7" t="str">
        <f>"0180539"</f>
        <v>0180539</v>
      </c>
      <c r="I545" s="7" t="str">
        <f>"QC"</f>
        <v>QC</v>
      </c>
      <c r="J545" s="7" t="s">
        <v>167</v>
      </c>
      <c r="K545" s="7" t="str">
        <f>""</f>
        <v/>
      </c>
      <c r="L545" s="7" t="str">
        <f>""</f>
        <v/>
      </c>
      <c r="M545" s="7" t="s">
        <v>256</v>
      </c>
      <c r="N545" s="7"/>
    </row>
    <row r="546" spans="1:14" x14ac:dyDescent="0.25">
      <c r="A546" s="7" t="s">
        <v>80</v>
      </c>
      <c r="B546" s="7" t="s">
        <v>81</v>
      </c>
      <c r="C546" s="7" t="s">
        <v>13</v>
      </c>
      <c r="D546" s="7" t="str">
        <f t="shared" si="104"/>
        <v>U18</v>
      </c>
      <c r="E546" s="2">
        <v>2004</v>
      </c>
      <c r="F546" s="7" t="s">
        <v>78</v>
      </c>
      <c r="G546" s="7" t="s">
        <v>21</v>
      </c>
      <c r="H546" s="7" t="s">
        <v>82</v>
      </c>
      <c r="I546" s="7" t="s">
        <v>17</v>
      </c>
      <c r="J546" s="7" t="s">
        <v>167</v>
      </c>
      <c r="K546" s="7" t="s">
        <v>10</v>
      </c>
      <c r="L546" s="7" t="s">
        <v>10</v>
      </c>
      <c r="M546" s="7" t="s">
        <v>256</v>
      </c>
      <c r="N546" s="7"/>
    </row>
    <row r="547" spans="1:14" x14ac:dyDescent="0.25">
      <c r="A547" s="7" t="str">
        <f>"Tyson"</f>
        <v>Tyson</v>
      </c>
      <c r="B547" s="7" t="str">
        <f>"Frezza"</f>
        <v>Frezza</v>
      </c>
      <c r="C547" s="7" t="str">
        <f>"M"</f>
        <v>M</v>
      </c>
      <c r="D547" s="7" t="str">
        <f t="shared" si="104"/>
        <v>U18</v>
      </c>
      <c r="E547" s="2">
        <v>2003</v>
      </c>
      <c r="F547" s="7" t="str">
        <f>"Club de judo Olympique"</f>
        <v>Club de judo Olympique</v>
      </c>
      <c r="G547" s="7" t="str">
        <f>"-60kg"</f>
        <v>-60kg</v>
      </c>
      <c r="H547" s="7" t="str">
        <f>"0214140"</f>
        <v>0214140</v>
      </c>
      <c r="I547" s="7" t="str">
        <f>"QC"</f>
        <v>QC</v>
      </c>
      <c r="J547" s="7" t="s">
        <v>163</v>
      </c>
      <c r="K547" s="7" t="str">
        <f>""</f>
        <v/>
      </c>
      <c r="L547" s="7" t="str">
        <f>""</f>
        <v/>
      </c>
      <c r="M547" s="7" t="s">
        <v>256</v>
      </c>
      <c r="N547" s="7"/>
    </row>
    <row r="548" spans="1:14" x14ac:dyDescent="0.25">
      <c r="A548" s="7" t="str">
        <f>"Max"</f>
        <v>Max</v>
      </c>
      <c r="B548" s="7" t="str">
        <f>"Garson"</f>
        <v>Garson</v>
      </c>
      <c r="C548" s="7" t="str">
        <f>"M"</f>
        <v>M</v>
      </c>
      <c r="D548" s="7" t="str">
        <f t="shared" si="104"/>
        <v>U18</v>
      </c>
      <c r="E548" s="2">
        <v>2002</v>
      </c>
      <c r="F548" s="7" t="str">
        <f>"Club de judo Shidokan inc."</f>
        <v>Club de judo Shidokan inc.</v>
      </c>
      <c r="G548" s="7" t="str">
        <f>"-60kg"</f>
        <v>-60kg</v>
      </c>
      <c r="H548" s="7" t="str">
        <f>"0153258"</f>
        <v>0153258</v>
      </c>
      <c r="I548" s="7" t="str">
        <f>"QC"</f>
        <v>QC</v>
      </c>
      <c r="J548" s="7" t="s">
        <v>167</v>
      </c>
      <c r="K548" s="7" t="str">
        <f>""</f>
        <v/>
      </c>
      <c r="L548" s="7" t="str">
        <f>""</f>
        <v/>
      </c>
      <c r="M548" s="7" t="s">
        <v>256</v>
      </c>
      <c r="N548" s="7"/>
    </row>
    <row r="549" spans="1:14" x14ac:dyDescent="0.25">
      <c r="A549" s="7" t="str">
        <f>"Charles-David"</f>
        <v>Charles-David</v>
      </c>
      <c r="B549" s="7" t="str">
        <f>"Gauthier"</f>
        <v>Gauthier</v>
      </c>
      <c r="C549" s="7" t="str">
        <f>"M"</f>
        <v>M</v>
      </c>
      <c r="D549" s="7" t="str">
        <f t="shared" si="104"/>
        <v>U18</v>
      </c>
      <c r="E549" s="2">
        <v>2002</v>
      </c>
      <c r="F549" s="7" t="str">
        <f>"Club de judo Albatros Inc."</f>
        <v>Club de judo Albatros Inc.</v>
      </c>
      <c r="G549" s="7" t="str">
        <f>"-60kg"</f>
        <v>-60kg</v>
      </c>
      <c r="H549" s="7" t="str">
        <f>"0154904"</f>
        <v>0154904</v>
      </c>
      <c r="I549" s="7" t="str">
        <f>"QC"</f>
        <v>QC</v>
      </c>
      <c r="J549" s="7" t="s">
        <v>167</v>
      </c>
      <c r="K549" s="7" t="str">
        <f>""</f>
        <v/>
      </c>
      <c r="L549" s="7" t="str">
        <f>""</f>
        <v/>
      </c>
      <c r="M549" s="7" t="s">
        <v>256</v>
      </c>
      <c r="N549" s="7"/>
    </row>
    <row r="550" spans="1:14" x14ac:dyDescent="0.25">
      <c r="A550" s="7" t="str">
        <f>"Samuel"</f>
        <v>Samuel</v>
      </c>
      <c r="B550" s="7" t="str">
        <f>"Gilbert"</f>
        <v>Gilbert</v>
      </c>
      <c r="C550" s="7" t="str">
        <f>"M"</f>
        <v>M</v>
      </c>
      <c r="D550" s="7" t="str">
        <f t="shared" si="104"/>
        <v>U18</v>
      </c>
      <c r="E550" s="2">
        <v>2002</v>
      </c>
      <c r="F550" s="7" t="str">
        <f>"Club de judo Rikidokan inc."</f>
        <v>Club de judo Rikidokan inc.</v>
      </c>
      <c r="G550" s="7" t="str">
        <f>"-60kg"</f>
        <v>-60kg</v>
      </c>
      <c r="H550" s="7" t="str">
        <f>"0171616"</f>
        <v>0171616</v>
      </c>
      <c r="I550" s="7" t="str">
        <f>"QC"</f>
        <v>QC</v>
      </c>
      <c r="J550" s="7" t="s">
        <v>167</v>
      </c>
      <c r="K550" s="7" t="str">
        <f>""</f>
        <v/>
      </c>
      <c r="L550" s="7" t="str">
        <f>""</f>
        <v/>
      </c>
      <c r="M550" s="7" t="s">
        <v>256</v>
      </c>
      <c r="N550" s="7"/>
    </row>
    <row r="551" spans="1:14" x14ac:dyDescent="0.25">
      <c r="A551" s="7" t="str">
        <f>"Jason"</f>
        <v>Jason</v>
      </c>
      <c r="B551" s="7" t="str">
        <f>"Lambert"</f>
        <v>Lambert</v>
      </c>
      <c r="C551" s="7" t="str">
        <f>"M"</f>
        <v>M</v>
      </c>
      <c r="D551" s="7" t="str">
        <f t="shared" si="104"/>
        <v>U18</v>
      </c>
      <c r="E551" s="2">
        <v>2002</v>
      </c>
      <c r="F551" s="7" t="str">
        <f>"Club de Judo Shawinigan"</f>
        <v>Club de Judo Shawinigan</v>
      </c>
      <c r="G551" s="7" t="str">
        <f>"-60kg"</f>
        <v>-60kg</v>
      </c>
      <c r="H551" s="7" t="str">
        <f>"0204243"</f>
        <v>0204243</v>
      </c>
      <c r="I551" s="7" t="str">
        <f>"QC"</f>
        <v>QC</v>
      </c>
      <c r="J551" s="7" t="s">
        <v>167</v>
      </c>
      <c r="K551" s="7" t="str">
        <f>""</f>
        <v/>
      </c>
      <c r="L551" s="7" t="str">
        <f>""</f>
        <v/>
      </c>
      <c r="M551" s="7" t="s">
        <v>256</v>
      </c>
      <c r="N551" s="7"/>
    </row>
    <row r="552" spans="1:14" x14ac:dyDescent="0.25">
      <c r="A552" s="7" t="s">
        <v>23</v>
      </c>
      <c r="B552" s="7" t="s">
        <v>24</v>
      </c>
      <c r="C552" s="7" t="s">
        <v>13</v>
      </c>
      <c r="D552" s="7" t="str">
        <f t="shared" si="104"/>
        <v>U18</v>
      </c>
      <c r="E552" s="2">
        <v>2004</v>
      </c>
      <c r="F552" s="7" t="s">
        <v>25</v>
      </c>
      <c r="G552" s="7" t="s">
        <v>21</v>
      </c>
      <c r="H552" s="7" t="s">
        <v>26</v>
      </c>
      <c r="I552" s="7" t="s">
        <v>17</v>
      </c>
      <c r="J552" s="7" t="s">
        <v>167</v>
      </c>
      <c r="K552" s="7" t="s">
        <v>10</v>
      </c>
      <c r="L552" s="7" t="s">
        <v>10</v>
      </c>
      <c r="M552" s="7" t="s">
        <v>256</v>
      </c>
      <c r="N552" s="7"/>
    </row>
    <row r="553" spans="1:14" x14ac:dyDescent="0.25">
      <c r="A553" s="7" t="s">
        <v>18</v>
      </c>
      <c r="B553" s="7" t="s">
        <v>19</v>
      </c>
      <c r="C553" s="7" t="s">
        <v>13</v>
      </c>
      <c r="D553" s="7" t="str">
        <f t="shared" si="104"/>
        <v>U18</v>
      </c>
      <c r="E553" s="2">
        <v>2002</v>
      </c>
      <c r="F553" s="7" t="s">
        <v>20</v>
      </c>
      <c r="G553" s="7" t="s">
        <v>21</v>
      </c>
      <c r="H553" s="7" t="s">
        <v>22</v>
      </c>
      <c r="I553" s="7" t="s">
        <v>17</v>
      </c>
      <c r="J553" s="7" t="s">
        <v>168</v>
      </c>
      <c r="K553" s="7" t="s">
        <v>10</v>
      </c>
      <c r="L553" s="7" t="s">
        <v>10</v>
      </c>
      <c r="M553" s="7" t="s">
        <v>256</v>
      </c>
      <c r="N553" s="7"/>
    </row>
    <row r="554" spans="1:14" x14ac:dyDescent="0.25">
      <c r="A554" s="7" t="str">
        <f>"Andy"</f>
        <v>Andy</v>
      </c>
      <c r="B554" s="7" t="str">
        <f>"Yorio"</f>
        <v>Yorio</v>
      </c>
      <c r="C554" s="7" t="str">
        <f>"M"</f>
        <v>M</v>
      </c>
      <c r="D554" s="7" t="str">
        <f t="shared" si="104"/>
        <v>U18</v>
      </c>
      <c r="E554" s="2">
        <v>2003</v>
      </c>
      <c r="F554" s="7" t="str">
        <f>"Club de judo Olympique"</f>
        <v>Club de judo Olympique</v>
      </c>
      <c r="G554" s="7" t="str">
        <f>"-60kg"</f>
        <v>-60kg</v>
      </c>
      <c r="H554" s="7" t="str">
        <f>"0202940"</f>
        <v>0202940</v>
      </c>
      <c r="I554" s="7" t="str">
        <f>"QC"</f>
        <v>QC</v>
      </c>
      <c r="J554" s="7" t="s">
        <v>174</v>
      </c>
      <c r="K554" s="7" t="str">
        <f>""</f>
        <v/>
      </c>
      <c r="L554" s="7" t="str">
        <f>""</f>
        <v/>
      </c>
      <c r="M554" s="7" t="s">
        <v>256</v>
      </c>
      <c r="N554" s="7"/>
    </row>
    <row r="555" spans="1:14" x14ac:dyDescent="0.25">
      <c r="A555" s="1" t="str">
        <f>"Warahtati"</f>
        <v>Warahtati</v>
      </c>
      <c r="B555" s="1" t="str">
        <f>"Delaronde"</f>
        <v>Delaronde</v>
      </c>
      <c r="C555" s="1" t="str">
        <f>"M"</f>
        <v>M</v>
      </c>
      <c r="D555" s="1" t="str">
        <f t="shared" si="104"/>
        <v>U18</v>
      </c>
      <c r="E555" s="2">
        <v>2003</v>
      </c>
      <c r="F555" s="1" t="str">
        <f>"Tritton Judo"</f>
        <v>Tritton Judo</v>
      </c>
      <c r="G555" s="1" t="str">
        <f>"-66kg"</f>
        <v>-66kg</v>
      </c>
      <c r="H555" s="1" t="str">
        <f>"0412003"</f>
        <v>0412003</v>
      </c>
      <c r="I555" s="1" t="str">
        <f>"QC"</f>
        <v>QC</v>
      </c>
      <c r="J555" s="1" t="s">
        <v>165</v>
      </c>
      <c r="K555" s="1" t="str">
        <f>""</f>
        <v/>
      </c>
      <c r="L555" s="1" t="str">
        <f>""</f>
        <v/>
      </c>
      <c r="M555" s="1" t="s">
        <v>253</v>
      </c>
      <c r="N555" s="1"/>
    </row>
    <row r="556" spans="1:14" x14ac:dyDescent="0.25">
      <c r="A556" s="1" t="str">
        <f>"Nesar"</f>
        <v>Nesar</v>
      </c>
      <c r="B556" s="1" t="str">
        <f>"El Hama"</f>
        <v>El Hama</v>
      </c>
      <c r="C556" s="1" t="str">
        <f>"M"</f>
        <v>M</v>
      </c>
      <c r="D556" s="1" t="str">
        <f t="shared" si="104"/>
        <v>U18</v>
      </c>
      <c r="E556" s="2">
        <v>2003</v>
      </c>
      <c r="F556" s="1" t="str">
        <f>"Budokan Saint-Laurent"</f>
        <v>Budokan Saint-Laurent</v>
      </c>
      <c r="G556" s="1" t="str">
        <f>"-66kg"</f>
        <v>-66kg</v>
      </c>
      <c r="H556" s="1" t="str">
        <f>"0188074"</f>
        <v>0188074</v>
      </c>
      <c r="I556" s="1" t="str">
        <f>"QC"</f>
        <v>QC</v>
      </c>
      <c r="J556" s="1" t="s">
        <v>171</v>
      </c>
      <c r="K556" s="1" t="str">
        <f>""</f>
        <v/>
      </c>
      <c r="L556" s="1" t="str">
        <f>""</f>
        <v/>
      </c>
      <c r="M556" s="1" t="s">
        <v>253</v>
      </c>
      <c r="N556" s="1"/>
    </row>
    <row r="557" spans="1:14" x14ac:dyDescent="0.25">
      <c r="A557" s="1" t="str">
        <f>"Thomas"</f>
        <v>Thomas</v>
      </c>
      <c r="B557" s="1" t="str">
        <f>"Menard"</f>
        <v>Menard</v>
      </c>
      <c r="C557" s="1" t="str">
        <f>"M"</f>
        <v>M</v>
      </c>
      <c r="D557" s="1" t="str">
        <f t="shared" si="104"/>
        <v>U18</v>
      </c>
      <c r="E557" s="2">
        <v>2003</v>
      </c>
      <c r="F557" s="1" t="str">
        <f>"Judo Univestrie/donini"</f>
        <v>Judo Univestrie/donini</v>
      </c>
      <c r="G557" s="1" t="str">
        <f>"-66kg"</f>
        <v>-66kg</v>
      </c>
      <c r="H557" s="1" t="str">
        <f>"0235320"</f>
        <v>0235320</v>
      </c>
      <c r="I557" s="1" t="str">
        <f>"QC"</f>
        <v>QC</v>
      </c>
      <c r="J557" s="1" t="s">
        <v>172</v>
      </c>
      <c r="K557" s="1" t="str">
        <f>""</f>
        <v/>
      </c>
      <c r="L557" s="1" t="str">
        <f>""</f>
        <v/>
      </c>
      <c r="M557" s="1" t="s">
        <v>253</v>
      </c>
      <c r="N557" s="1"/>
    </row>
    <row r="558" spans="1:14" x14ac:dyDescent="0.25">
      <c r="A558" s="1" t="s">
        <v>145</v>
      </c>
      <c r="B558" s="1" t="s">
        <v>63</v>
      </c>
      <c r="C558" s="1" t="s">
        <v>13</v>
      </c>
      <c r="D558" s="1" t="str">
        <f t="shared" si="104"/>
        <v>U18</v>
      </c>
      <c r="E558" s="2">
        <v>2002</v>
      </c>
      <c r="F558" s="1" t="s">
        <v>150</v>
      </c>
      <c r="G558" s="1" t="s">
        <v>15</v>
      </c>
      <c r="H558" s="1">
        <v>407581</v>
      </c>
      <c r="I558" s="1" t="s">
        <v>17</v>
      </c>
      <c r="J558" s="1" t="s">
        <v>165</v>
      </c>
      <c r="K558" s="1" t="s">
        <v>10</v>
      </c>
      <c r="L558" s="1" t="s">
        <v>10</v>
      </c>
      <c r="M558" s="1" t="s">
        <v>253</v>
      </c>
      <c r="N558" s="1"/>
    </row>
    <row r="559" spans="1:14" x14ac:dyDescent="0.25">
      <c r="A559" s="6" t="str">
        <f>"Michael"</f>
        <v>Michael</v>
      </c>
      <c r="B559" s="6" t="str">
        <f>"Arabov"</f>
        <v>Arabov</v>
      </c>
      <c r="C559" s="6" t="str">
        <f>"M"</f>
        <v>M</v>
      </c>
      <c r="D559" s="6" t="str">
        <f t="shared" si="104"/>
        <v>U18</v>
      </c>
      <c r="E559" s="2">
        <v>2003</v>
      </c>
      <c r="F559" s="6" t="str">
        <f>"Toronto Judo Kai"</f>
        <v>Toronto Judo Kai</v>
      </c>
      <c r="G559" s="6" t="str">
        <f>"-66kg"</f>
        <v>-66kg</v>
      </c>
      <c r="H559" s="6" t="str">
        <f>"0199591"</f>
        <v>0199591</v>
      </c>
      <c r="I559" s="6" t="str">
        <f>"ON"</f>
        <v>ON</v>
      </c>
      <c r="J559" s="6" t="s">
        <v>167</v>
      </c>
      <c r="K559" s="6" t="str">
        <f>""</f>
        <v/>
      </c>
      <c r="L559" s="6" t="str">
        <f>""</f>
        <v/>
      </c>
      <c r="M559" s="6" t="s">
        <v>260</v>
      </c>
      <c r="N559" s="6"/>
    </row>
    <row r="560" spans="1:14" x14ac:dyDescent="0.25">
      <c r="A560" s="6" t="s">
        <v>36</v>
      </c>
      <c r="B560" s="6" t="s">
        <v>37</v>
      </c>
      <c r="C560" s="6" t="s">
        <v>13</v>
      </c>
      <c r="D560" s="6" t="str">
        <f t="shared" si="104"/>
        <v>U18</v>
      </c>
      <c r="E560" s="2">
        <v>2002</v>
      </c>
      <c r="F560" s="6" t="s">
        <v>38</v>
      </c>
      <c r="G560" s="6" t="s">
        <v>15</v>
      </c>
      <c r="H560" s="6" t="s">
        <v>39</v>
      </c>
      <c r="I560" s="6" t="s">
        <v>17</v>
      </c>
      <c r="J560" s="6" t="s">
        <v>167</v>
      </c>
      <c r="K560" s="6" t="s">
        <v>10</v>
      </c>
      <c r="L560" s="6" t="s">
        <v>10</v>
      </c>
      <c r="M560" s="6" t="s">
        <v>260</v>
      </c>
      <c r="N560" s="6"/>
    </row>
    <row r="561" spans="1:14" x14ac:dyDescent="0.25">
      <c r="A561" s="6" t="s">
        <v>69</v>
      </c>
      <c r="B561" s="6" t="s">
        <v>70</v>
      </c>
      <c r="C561" s="6" t="s">
        <v>13</v>
      </c>
      <c r="D561" s="6" t="str">
        <f t="shared" si="104"/>
        <v>U18</v>
      </c>
      <c r="E561" s="2">
        <v>2003</v>
      </c>
      <c r="F561" s="6" t="s">
        <v>71</v>
      </c>
      <c r="G561" s="6" t="s">
        <v>15</v>
      </c>
      <c r="H561" s="6" t="s">
        <v>72</v>
      </c>
      <c r="I561" s="6" t="s">
        <v>17</v>
      </c>
      <c r="J561" s="6" t="s">
        <v>167</v>
      </c>
      <c r="K561" s="6" t="s">
        <v>10</v>
      </c>
      <c r="L561" s="6" t="s">
        <v>10</v>
      </c>
      <c r="M561" s="6" t="s">
        <v>260</v>
      </c>
      <c r="N561" s="6"/>
    </row>
    <row r="562" spans="1:14" x14ac:dyDescent="0.25">
      <c r="A562" s="6" t="s">
        <v>11</v>
      </c>
      <c r="B562" s="6" t="s">
        <v>12</v>
      </c>
      <c r="C562" s="6" t="s">
        <v>13</v>
      </c>
      <c r="D562" s="6" t="str">
        <f t="shared" si="104"/>
        <v>U18</v>
      </c>
      <c r="E562" s="2">
        <v>2002</v>
      </c>
      <c r="F562" s="6" t="s">
        <v>14</v>
      </c>
      <c r="G562" s="6" t="s">
        <v>15</v>
      </c>
      <c r="H562" s="6" t="s">
        <v>16</v>
      </c>
      <c r="I562" s="6" t="s">
        <v>17</v>
      </c>
      <c r="J562" s="6" t="s">
        <v>167</v>
      </c>
      <c r="K562" s="6" t="s">
        <v>10</v>
      </c>
      <c r="L562" s="6" t="s">
        <v>10</v>
      </c>
      <c r="M562" s="6" t="s">
        <v>260</v>
      </c>
      <c r="N562" s="6"/>
    </row>
    <row r="563" spans="1:14" x14ac:dyDescent="0.25">
      <c r="A563" s="6" t="str">
        <f>"Nu-Maan"</f>
        <v>Nu-Maan</v>
      </c>
      <c r="B563" s="6" t="str">
        <f>"Bassawon"</f>
        <v>Bassawon</v>
      </c>
      <c r="C563" s="6" t="str">
        <f>"M"</f>
        <v>M</v>
      </c>
      <c r="D563" s="6" t="str">
        <f t="shared" si="104"/>
        <v>U18</v>
      </c>
      <c r="E563" s="2">
        <v>2003</v>
      </c>
      <c r="F563" s="6" t="str">
        <f>"Club de judo Shidokan inc."</f>
        <v>Club de judo Shidokan inc.</v>
      </c>
      <c r="G563" s="6" t="str">
        <f>"-66kg"</f>
        <v>-66kg</v>
      </c>
      <c r="H563" s="6" t="str">
        <f>"0233181"</f>
        <v>0233181</v>
      </c>
      <c r="I563" s="6" t="str">
        <f>"QC"</f>
        <v>QC</v>
      </c>
      <c r="J563" s="6" t="s">
        <v>167</v>
      </c>
      <c r="K563" s="6" t="str">
        <f>""</f>
        <v/>
      </c>
      <c r="L563" s="6" t="str">
        <f>""</f>
        <v/>
      </c>
      <c r="M563" s="6" t="s">
        <v>260</v>
      </c>
      <c r="N563" s="6"/>
    </row>
    <row r="564" spans="1:14" x14ac:dyDescent="0.25">
      <c r="A564" s="6" t="str">
        <f>"Kenny"</f>
        <v>Kenny</v>
      </c>
      <c r="B564" s="6" t="str">
        <f>"Bellemare"</f>
        <v>Bellemare</v>
      </c>
      <c r="C564" s="6" t="str">
        <f>"M"</f>
        <v>M</v>
      </c>
      <c r="D564" s="6" t="str">
        <f t="shared" ref="D564:D599" si="105">"U18"</f>
        <v>U18</v>
      </c>
      <c r="E564" s="2">
        <v>2003</v>
      </c>
      <c r="F564" s="6" t="str">
        <f>"Club de judo Seïkidokan inc."</f>
        <v>Club de judo Seïkidokan inc.</v>
      </c>
      <c r="G564" s="6" t="str">
        <f>"-66kg"</f>
        <v>-66kg</v>
      </c>
      <c r="H564" s="6" t="str">
        <f>"0194142"</f>
        <v>0194142</v>
      </c>
      <c r="I564" s="6" t="str">
        <f>"QC"</f>
        <v>QC</v>
      </c>
      <c r="J564" s="6" t="s">
        <v>167</v>
      </c>
      <c r="K564" s="6" t="str">
        <f>""</f>
        <v/>
      </c>
      <c r="L564" s="6" t="str">
        <f>""</f>
        <v/>
      </c>
      <c r="M564" s="6" t="s">
        <v>260</v>
      </c>
      <c r="N564" s="6"/>
    </row>
    <row r="565" spans="1:14" x14ac:dyDescent="0.25">
      <c r="A565" s="6" t="s">
        <v>103</v>
      </c>
      <c r="B565" s="6" t="s">
        <v>104</v>
      </c>
      <c r="C565" s="6" t="s">
        <v>13</v>
      </c>
      <c r="D565" s="6" t="str">
        <f t="shared" si="105"/>
        <v>U18</v>
      </c>
      <c r="E565" s="2">
        <v>2002</v>
      </c>
      <c r="F565" s="6" t="s">
        <v>48</v>
      </c>
      <c r="G565" s="6" t="s">
        <v>15</v>
      </c>
      <c r="H565" s="6" t="s">
        <v>105</v>
      </c>
      <c r="I565" s="6" t="s">
        <v>17</v>
      </c>
      <c r="J565" s="6" t="s">
        <v>167</v>
      </c>
      <c r="K565" s="6" t="s">
        <v>10</v>
      </c>
      <c r="L565" s="6" t="s">
        <v>10</v>
      </c>
      <c r="M565" s="6" t="s">
        <v>260</v>
      </c>
      <c r="N565" s="6"/>
    </row>
    <row r="566" spans="1:14" x14ac:dyDescent="0.25">
      <c r="A566" s="6" t="str">
        <f>"Benjamin"</f>
        <v>Benjamin</v>
      </c>
      <c r="B566" s="6" t="str">
        <f>"Brassard"</f>
        <v>Brassard</v>
      </c>
      <c r="C566" s="6" t="str">
        <f>"M"</f>
        <v>M</v>
      </c>
      <c r="D566" s="6" t="str">
        <f t="shared" si="105"/>
        <v>U18</v>
      </c>
      <c r="E566" s="2">
        <v>2002</v>
      </c>
      <c r="F566" s="6" t="str">
        <f>"Club de judo de la vieille capitale"</f>
        <v>Club de judo de la vieille capitale</v>
      </c>
      <c r="G566" s="6" t="str">
        <f>"-66kg"</f>
        <v>-66kg</v>
      </c>
      <c r="H566" s="6" t="str">
        <f>"0151744"</f>
        <v>0151744</v>
      </c>
      <c r="I566" s="6" t="str">
        <f>"QC"</f>
        <v>QC</v>
      </c>
      <c r="J566" s="6" t="s">
        <v>167</v>
      </c>
      <c r="K566" s="6" t="str">
        <f>""</f>
        <v/>
      </c>
      <c r="L566" s="6" t="str">
        <f>""</f>
        <v/>
      </c>
      <c r="M566" s="6" t="s">
        <v>260</v>
      </c>
      <c r="N566" s="6"/>
    </row>
    <row r="567" spans="1:14" x14ac:dyDescent="0.25">
      <c r="A567" s="6" t="str">
        <f>"Émilien"</f>
        <v>Émilien</v>
      </c>
      <c r="B567" s="6" t="str">
        <f>"Dutremble"</f>
        <v>Dutremble</v>
      </c>
      <c r="C567" s="6" t="str">
        <f>"M"</f>
        <v>M</v>
      </c>
      <c r="D567" s="6" t="str">
        <f t="shared" si="105"/>
        <v>U18</v>
      </c>
      <c r="E567" s="2">
        <v>2002</v>
      </c>
      <c r="F567" s="6" t="str">
        <f>"Club de judo Saint-Hyacinthe Inc."</f>
        <v>Club de judo Saint-Hyacinthe Inc.</v>
      </c>
      <c r="G567" s="6" t="str">
        <f>"-66kg"</f>
        <v>-66kg</v>
      </c>
      <c r="H567" s="6" t="str">
        <f>"0146200"</f>
        <v>0146200</v>
      </c>
      <c r="I567" s="6" t="str">
        <f>"QC"</f>
        <v>QC</v>
      </c>
      <c r="J567" s="6" t="s">
        <v>167</v>
      </c>
      <c r="K567" s="6" t="str">
        <f>""</f>
        <v/>
      </c>
      <c r="L567" s="6" t="str">
        <f>""</f>
        <v/>
      </c>
      <c r="M567" s="6" t="s">
        <v>260</v>
      </c>
      <c r="N567" s="6"/>
    </row>
    <row r="568" spans="1:14" x14ac:dyDescent="0.25">
      <c r="A568" s="6" t="s">
        <v>63</v>
      </c>
      <c r="B568" s="6" t="s">
        <v>64</v>
      </c>
      <c r="C568" s="6" t="s">
        <v>13</v>
      </c>
      <c r="D568" s="6" t="str">
        <f t="shared" si="105"/>
        <v>U18</v>
      </c>
      <c r="E568" s="2">
        <v>2004</v>
      </c>
      <c r="F568" s="6" t="s">
        <v>20</v>
      </c>
      <c r="G568" s="6" t="s">
        <v>15</v>
      </c>
      <c r="H568" s="6" t="s">
        <v>65</v>
      </c>
      <c r="I568" s="6" t="s">
        <v>17</v>
      </c>
      <c r="J568" s="6" t="s">
        <v>167</v>
      </c>
      <c r="K568" s="6" t="s">
        <v>10</v>
      </c>
      <c r="L568" s="6" t="s">
        <v>10</v>
      </c>
      <c r="M568" s="6" t="s">
        <v>260</v>
      </c>
      <c r="N568" s="6"/>
    </row>
    <row r="569" spans="1:14" x14ac:dyDescent="0.25">
      <c r="A569" s="6" t="str">
        <f>"Lucca"</f>
        <v>Lucca</v>
      </c>
      <c r="B569" s="6" t="str">
        <f>"Gorbachuk"</f>
        <v>Gorbachuk</v>
      </c>
      <c r="C569" s="6" t="str">
        <f>"M"</f>
        <v>M</v>
      </c>
      <c r="D569" s="6" t="str">
        <f t="shared" si="105"/>
        <v>U18</v>
      </c>
      <c r="E569" s="2">
        <v>2004</v>
      </c>
      <c r="F569" s="6" t="str">
        <f>"Club de judo St-Jean Bosco de Hull"</f>
        <v>Club de judo St-Jean Bosco de Hull</v>
      </c>
      <c r="G569" s="6" t="str">
        <f>"-66kg"</f>
        <v>-66kg</v>
      </c>
      <c r="H569" s="6" t="str">
        <f>"0180032"</f>
        <v>0180032</v>
      </c>
      <c r="I569" s="6" t="str">
        <f>"QC"</f>
        <v>QC</v>
      </c>
      <c r="J569" s="6" t="s">
        <v>167</v>
      </c>
      <c r="K569" s="6" t="str">
        <f>""</f>
        <v/>
      </c>
      <c r="L569" s="6" t="str">
        <f>""</f>
        <v/>
      </c>
      <c r="M569" s="6" t="s">
        <v>260</v>
      </c>
      <c r="N569" s="6"/>
    </row>
    <row r="570" spans="1:14" x14ac:dyDescent="0.25">
      <c r="A570" s="6" t="str">
        <f>"Felix"</f>
        <v>Felix</v>
      </c>
      <c r="B570" s="6" t="str">
        <f>"Kohler Bélanger"</f>
        <v>Kohler Bélanger</v>
      </c>
      <c r="C570" s="6" t="str">
        <f>"M"</f>
        <v>M</v>
      </c>
      <c r="D570" s="6" t="str">
        <f t="shared" si="105"/>
        <v>U18</v>
      </c>
      <c r="E570" s="2">
        <v>2002</v>
      </c>
      <c r="F570" s="6" t="str">
        <f>"Club de judo Métropolitain inc."</f>
        <v>Club de judo Métropolitain inc.</v>
      </c>
      <c r="G570" s="6" t="str">
        <f>"-66kg"</f>
        <v>-66kg</v>
      </c>
      <c r="H570" s="6" t="str">
        <f>"0409752"</f>
        <v>0409752</v>
      </c>
      <c r="I570" s="6" t="str">
        <f>"QC"</f>
        <v>QC</v>
      </c>
      <c r="J570" s="6" t="s">
        <v>174</v>
      </c>
      <c r="K570" s="6" t="str">
        <f>""</f>
        <v/>
      </c>
      <c r="L570" s="6" t="str">
        <f>""</f>
        <v/>
      </c>
      <c r="M570" s="6" t="s">
        <v>260</v>
      </c>
      <c r="N570" s="6"/>
    </row>
    <row r="571" spans="1:14" x14ac:dyDescent="0.25">
      <c r="A571" s="6" t="s">
        <v>143</v>
      </c>
      <c r="B571" s="6" t="s">
        <v>144</v>
      </c>
      <c r="C571" s="6" t="s">
        <v>13</v>
      </c>
      <c r="D571" s="6" t="str">
        <f t="shared" si="105"/>
        <v>U18</v>
      </c>
      <c r="E571" s="2">
        <v>2002</v>
      </c>
      <c r="F571" s="6" t="s">
        <v>150</v>
      </c>
      <c r="G571" s="6" t="s">
        <v>15</v>
      </c>
      <c r="H571" s="6">
        <v>168390</v>
      </c>
      <c r="I571" s="6" t="s">
        <v>17</v>
      </c>
      <c r="J571" s="6" t="s">
        <v>167</v>
      </c>
      <c r="K571" s="6" t="s">
        <v>10</v>
      </c>
      <c r="L571" s="6" t="s">
        <v>10</v>
      </c>
      <c r="M571" s="6" t="s">
        <v>260</v>
      </c>
      <c r="N571" s="6"/>
    </row>
    <row r="572" spans="1:14" x14ac:dyDescent="0.25">
      <c r="A572" s="6" t="str">
        <f>"Louis-Philippe"</f>
        <v>Louis-Philippe</v>
      </c>
      <c r="B572" s="6" t="str">
        <f>"Manseau"</f>
        <v>Manseau</v>
      </c>
      <c r="C572" s="6" t="str">
        <f>"M"</f>
        <v>M</v>
      </c>
      <c r="D572" s="6" t="str">
        <f t="shared" si="105"/>
        <v>U18</v>
      </c>
      <c r="E572" s="2">
        <v>2003</v>
      </c>
      <c r="F572" s="6" t="str">
        <f>"Club de judo Judo-Tech"</f>
        <v>Club de judo Judo-Tech</v>
      </c>
      <c r="G572" s="6" t="str">
        <f>"-66kg"</f>
        <v>-66kg</v>
      </c>
      <c r="H572" s="6" t="str">
        <f>"0165102"</f>
        <v>0165102</v>
      </c>
      <c r="I572" s="6" t="str">
        <f>"QC"</f>
        <v>QC</v>
      </c>
      <c r="J572" s="6" t="s">
        <v>163</v>
      </c>
      <c r="K572" s="6" t="str">
        <f>""</f>
        <v/>
      </c>
      <c r="L572" s="6" t="str">
        <f>""</f>
        <v/>
      </c>
      <c r="M572" s="6" t="s">
        <v>260</v>
      </c>
      <c r="N572" s="6"/>
    </row>
    <row r="573" spans="1:14" x14ac:dyDescent="0.25">
      <c r="A573" s="6" t="s">
        <v>40</v>
      </c>
      <c r="B573" s="6" t="s">
        <v>41</v>
      </c>
      <c r="C573" s="6" t="s">
        <v>13</v>
      </c>
      <c r="D573" s="6" t="str">
        <f t="shared" si="105"/>
        <v>U18</v>
      </c>
      <c r="E573" s="2">
        <v>2004</v>
      </c>
      <c r="F573" s="6" t="s">
        <v>14</v>
      </c>
      <c r="G573" s="6" t="s">
        <v>15</v>
      </c>
      <c r="H573" s="6" t="s">
        <v>42</v>
      </c>
      <c r="I573" s="6" t="s">
        <v>17</v>
      </c>
      <c r="J573" s="6" t="s">
        <v>167</v>
      </c>
      <c r="K573" s="6" t="s">
        <v>10</v>
      </c>
      <c r="L573" s="6" t="s">
        <v>10</v>
      </c>
      <c r="M573" s="6" t="s">
        <v>260</v>
      </c>
      <c r="N573" s="6"/>
    </row>
    <row r="574" spans="1:14" x14ac:dyDescent="0.25">
      <c r="A574" s="6" t="s">
        <v>73</v>
      </c>
      <c r="B574" s="6" t="s">
        <v>74</v>
      </c>
      <c r="C574" s="6" t="s">
        <v>13</v>
      </c>
      <c r="D574" s="6" t="str">
        <f t="shared" si="105"/>
        <v>U18</v>
      </c>
      <c r="E574" s="2">
        <v>2002</v>
      </c>
      <c r="F574" s="6" t="s">
        <v>71</v>
      </c>
      <c r="G574" s="6" t="s">
        <v>15</v>
      </c>
      <c r="H574" s="6" t="s">
        <v>75</v>
      </c>
      <c r="I574" s="6" t="s">
        <v>17</v>
      </c>
      <c r="J574" s="6" t="s">
        <v>168</v>
      </c>
      <c r="K574" s="6" t="s">
        <v>10</v>
      </c>
      <c r="L574" s="6" t="s">
        <v>10</v>
      </c>
      <c r="M574" s="6" t="s">
        <v>260</v>
      </c>
      <c r="N574" s="6"/>
    </row>
    <row r="575" spans="1:14" x14ac:dyDescent="0.25">
      <c r="A575" s="6" t="str">
        <f>"Xavier"</f>
        <v>Xavier</v>
      </c>
      <c r="B575" s="6" t="str">
        <f>"Roy"</f>
        <v>Roy</v>
      </c>
      <c r="C575" s="6" t="str">
        <f>"M"</f>
        <v>M</v>
      </c>
      <c r="D575" s="6" t="str">
        <f t="shared" si="105"/>
        <v>U18</v>
      </c>
      <c r="E575" s="2">
        <v>2002</v>
      </c>
      <c r="F575" s="6" t="str">
        <f>"Judo Beauce"</f>
        <v>Judo Beauce</v>
      </c>
      <c r="G575" s="6" t="str">
        <f>"-66kg"</f>
        <v>-66kg</v>
      </c>
      <c r="H575" s="6" t="str">
        <f>"0227732"</f>
        <v>0227732</v>
      </c>
      <c r="I575" s="6" t="str">
        <f>"QC"</f>
        <v>QC</v>
      </c>
      <c r="J575" s="6" t="s">
        <v>163</v>
      </c>
      <c r="K575" s="6" t="str">
        <f>""</f>
        <v/>
      </c>
      <c r="L575" s="6" t="str">
        <f>""</f>
        <v/>
      </c>
      <c r="M575" s="6" t="s">
        <v>260</v>
      </c>
      <c r="N575" s="6"/>
    </row>
    <row r="576" spans="1:14" x14ac:dyDescent="0.25">
      <c r="A576" s="6" t="str">
        <f>"Philippe"</f>
        <v>Philippe</v>
      </c>
      <c r="B576" s="6" t="str">
        <f>"Thibodeau"</f>
        <v>Thibodeau</v>
      </c>
      <c r="C576" s="6" t="str">
        <f>"M"</f>
        <v>M</v>
      </c>
      <c r="D576" s="6" t="str">
        <f t="shared" si="105"/>
        <v>U18</v>
      </c>
      <c r="E576" s="2">
        <v>2003</v>
      </c>
      <c r="F576" s="6" t="str">
        <f>"Judo Blainville"</f>
        <v>Judo Blainville</v>
      </c>
      <c r="G576" s="6" t="str">
        <f>"-66kg"</f>
        <v>-66kg</v>
      </c>
      <c r="H576" s="6" t="str">
        <f>"0158906"</f>
        <v>0158906</v>
      </c>
      <c r="I576" s="6" t="str">
        <f>"QC"</f>
        <v>QC</v>
      </c>
      <c r="J576" s="6" t="s">
        <v>167</v>
      </c>
      <c r="K576" s="6" t="str">
        <f>""</f>
        <v/>
      </c>
      <c r="L576" s="6" t="str">
        <f>""</f>
        <v/>
      </c>
      <c r="M576" s="6" t="s">
        <v>260</v>
      </c>
      <c r="N576" s="6"/>
    </row>
    <row r="577" spans="1:14" x14ac:dyDescent="0.25">
      <c r="A577" s="6" t="s">
        <v>46</v>
      </c>
      <c r="B577" s="6" t="s">
        <v>47</v>
      </c>
      <c r="C577" s="6" t="s">
        <v>13</v>
      </c>
      <c r="D577" s="6" t="str">
        <f t="shared" si="105"/>
        <v>U18</v>
      </c>
      <c r="E577" s="2">
        <v>2002</v>
      </c>
      <c r="F577" s="6" t="s">
        <v>48</v>
      </c>
      <c r="G577" s="6" t="s">
        <v>15</v>
      </c>
      <c r="H577" s="6" t="s">
        <v>49</v>
      </c>
      <c r="I577" s="6" t="s">
        <v>17</v>
      </c>
      <c r="J577" s="6" t="s">
        <v>167</v>
      </c>
      <c r="K577" s="6" t="s">
        <v>10</v>
      </c>
      <c r="L577" s="6" t="s">
        <v>10</v>
      </c>
      <c r="M577" s="6" t="s">
        <v>260</v>
      </c>
      <c r="N577" s="6"/>
    </row>
    <row r="578" spans="1:14" x14ac:dyDescent="0.25">
      <c r="A578" s="5" t="str">
        <f>"El Mehdi"</f>
        <v>El Mehdi</v>
      </c>
      <c r="B578" s="5" t="str">
        <f>"Bourouiss"</f>
        <v>Bourouiss</v>
      </c>
      <c r="C578" s="5" t="str">
        <f>"M"</f>
        <v>M</v>
      </c>
      <c r="D578" s="5" t="str">
        <f t="shared" si="105"/>
        <v>U18</v>
      </c>
      <c r="E578" s="2">
        <v>2002</v>
      </c>
      <c r="F578" s="5" t="str">
        <f>"Budokan Saint-Laurent"</f>
        <v>Budokan Saint-Laurent</v>
      </c>
      <c r="G578" s="5" t="str">
        <f>"-73kg"</f>
        <v>-73kg</v>
      </c>
      <c r="H578" s="5" t="str">
        <f>"0410065"</f>
        <v>0410065</v>
      </c>
      <c r="I578" s="5" t="str">
        <f>"QC"</f>
        <v>QC</v>
      </c>
      <c r="J578" s="5" t="s">
        <v>171</v>
      </c>
      <c r="K578" s="5" t="str">
        <f>""</f>
        <v/>
      </c>
      <c r="L578" s="5" t="str">
        <f>""</f>
        <v/>
      </c>
      <c r="M578" s="5" t="s">
        <v>252</v>
      </c>
      <c r="N578" s="5"/>
    </row>
    <row r="579" spans="1:14" x14ac:dyDescent="0.25">
      <c r="A579" s="5" t="str">
        <f>"Micheal"</f>
        <v>Micheal</v>
      </c>
      <c r="B579" s="5" t="str">
        <f>"Doucet-Petrin"</f>
        <v>Doucet-Petrin</v>
      </c>
      <c r="C579" s="5" t="str">
        <f>"M"</f>
        <v>M</v>
      </c>
      <c r="D579" s="5" t="str">
        <f t="shared" si="105"/>
        <v>U18</v>
      </c>
      <c r="E579" s="2">
        <v>2002</v>
      </c>
      <c r="F579" s="5" t="str">
        <f>"Club de judo Verdun"</f>
        <v>Club de judo Verdun</v>
      </c>
      <c r="G579" s="5" t="str">
        <f>"-73kg"</f>
        <v>-73kg</v>
      </c>
      <c r="H579" s="5" t="str">
        <f>"0223828"</f>
        <v>0223828</v>
      </c>
      <c r="I579" s="5" t="str">
        <f>"QC"</f>
        <v>QC</v>
      </c>
      <c r="J579" s="5" t="s">
        <v>171</v>
      </c>
      <c r="K579" s="5" t="str">
        <f>""</f>
        <v/>
      </c>
      <c r="L579" s="5" t="str">
        <f>""</f>
        <v/>
      </c>
      <c r="M579" s="5" t="s">
        <v>252</v>
      </c>
      <c r="N579" s="5"/>
    </row>
    <row r="580" spans="1:14" x14ac:dyDescent="0.25">
      <c r="A580" s="7" t="s">
        <v>59</v>
      </c>
      <c r="B580" s="7" t="s">
        <v>60</v>
      </c>
      <c r="C580" s="7" t="s">
        <v>13</v>
      </c>
      <c r="D580" s="7" t="str">
        <f t="shared" si="105"/>
        <v>U18</v>
      </c>
      <c r="E580" s="2">
        <v>2002</v>
      </c>
      <c r="F580" s="7" t="s">
        <v>48</v>
      </c>
      <c r="G580" s="7" t="s">
        <v>61</v>
      </c>
      <c r="H580" s="7" t="s">
        <v>62</v>
      </c>
      <c r="I580" s="7" t="s">
        <v>17</v>
      </c>
      <c r="J580" s="7" t="s">
        <v>167</v>
      </c>
      <c r="K580" s="7" t="s">
        <v>10</v>
      </c>
      <c r="L580" s="7" t="s">
        <v>10</v>
      </c>
      <c r="M580" s="7" t="s">
        <v>261</v>
      </c>
      <c r="N580" s="7"/>
    </row>
    <row r="581" spans="1:14" x14ac:dyDescent="0.25">
      <c r="A581" s="7" t="str">
        <f>"Ivan"</f>
        <v>Ivan</v>
      </c>
      <c r="B581" s="7" t="str">
        <f>"Arapovic"</f>
        <v>Arapovic</v>
      </c>
      <c r="C581" s="7" t="str">
        <f t="shared" ref="C581:C587" si="106">"M"</f>
        <v>M</v>
      </c>
      <c r="D581" s="7" t="str">
        <f t="shared" si="105"/>
        <v>U18</v>
      </c>
      <c r="E581" s="2">
        <v>2002</v>
      </c>
      <c r="F581" s="7" t="str">
        <f>"Club de judo Shidokan inc."</f>
        <v>Club de judo Shidokan inc.</v>
      </c>
      <c r="G581" s="7" t="str">
        <f t="shared" ref="G581:G587" si="107">"-73kg"</f>
        <v>-73kg</v>
      </c>
      <c r="H581" s="7" t="str">
        <f>"0165794"</f>
        <v>0165794</v>
      </c>
      <c r="I581" s="7" t="str">
        <f t="shared" ref="I581:I587" si="108">"QC"</f>
        <v>QC</v>
      </c>
      <c r="J581" s="7" t="s">
        <v>167</v>
      </c>
      <c r="K581" s="7" t="str">
        <f>""</f>
        <v/>
      </c>
      <c r="L581" s="7" t="str">
        <f>""</f>
        <v/>
      </c>
      <c r="M581" s="7" t="s">
        <v>261</v>
      </c>
      <c r="N581" s="7"/>
    </row>
    <row r="582" spans="1:14" x14ac:dyDescent="0.25">
      <c r="A582" s="7" t="str">
        <f>"Munkhjin"</f>
        <v>Munkhjin</v>
      </c>
      <c r="B582" s="7" t="str">
        <f>"Batdorj"</f>
        <v>Batdorj</v>
      </c>
      <c r="C582" s="7" t="str">
        <f t="shared" si="106"/>
        <v>M</v>
      </c>
      <c r="D582" s="7" t="str">
        <f t="shared" si="105"/>
        <v>U18</v>
      </c>
      <c r="E582" s="2">
        <v>2004</v>
      </c>
      <c r="F582" s="7" t="str">
        <f>"Club de judo Shidokan inc."</f>
        <v>Club de judo Shidokan inc.</v>
      </c>
      <c r="G582" s="7" t="str">
        <f t="shared" si="107"/>
        <v>-73kg</v>
      </c>
      <c r="H582" s="7" t="str">
        <f>"AutreFederation"</f>
        <v>AutreFederation</v>
      </c>
      <c r="I582" s="7" t="str">
        <f t="shared" si="108"/>
        <v>QC</v>
      </c>
      <c r="J582" s="7" t="s">
        <v>167</v>
      </c>
      <c r="K582" s="7" t="str">
        <f>""</f>
        <v/>
      </c>
      <c r="L582" s="7" t="str">
        <f>""</f>
        <v/>
      </c>
      <c r="M582" s="7" t="s">
        <v>261</v>
      </c>
      <c r="N582" s="7"/>
    </row>
    <row r="583" spans="1:14" x14ac:dyDescent="0.25">
      <c r="A583" s="7" t="str">
        <f>"Raphael"</f>
        <v>Raphael</v>
      </c>
      <c r="B583" s="7" t="str">
        <f>"Benchegroun"</f>
        <v>Benchegroun</v>
      </c>
      <c r="C583" s="7" t="str">
        <f t="shared" si="106"/>
        <v>M</v>
      </c>
      <c r="D583" s="7" t="str">
        <f t="shared" si="105"/>
        <v>U18</v>
      </c>
      <c r="E583" s="2">
        <v>2003</v>
      </c>
      <c r="F583" s="7" t="str">
        <f>"Club de judo Métropolitain inc."</f>
        <v>Club de judo Métropolitain inc.</v>
      </c>
      <c r="G583" s="7" t="str">
        <f t="shared" si="107"/>
        <v>-73kg</v>
      </c>
      <c r="H583" s="7" t="str">
        <f>"0207287"</f>
        <v>0207287</v>
      </c>
      <c r="I583" s="7" t="str">
        <f t="shared" si="108"/>
        <v>QC</v>
      </c>
      <c r="J583" s="7" t="s">
        <v>163</v>
      </c>
      <c r="K583" s="7" t="str">
        <f>""</f>
        <v/>
      </c>
      <c r="L583" s="7" t="str">
        <f>""</f>
        <v/>
      </c>
      <c r="M583" s="7" t="s">
        <v>261</v>
      </c>
      <c r="N583" s="7"/>
    </row>
    <row r="584" spans="1:14" x14ac:dyDescent="0.25">
      <c r="A584" s="7" t="str">
        <f>"Alexis"</f>
        <v>Alexis</v>
      </c>
      <c r="B584" s="7" t="str">
        <f>"Boutin"</f>
        <v>Boutin</v>
      </c>
      <c r="C584" s="7" t="str">
        <f t="shared" si="106"/>
        <v>M</v>
      </c>
      <c r="D584" s="7" t="str">
        <f t="shared" si="105"/>
        <v>U18</v>
      </c>
      <c r="E584" s="2">
        <v>2003</v>
      </c>
      <c r="F584" s="7" t="str">
        <f>"Club de judo St-Jean Bosco de Hull"</f>
        <v>Club de judo St-Jean Bosco de Hull</v>
      </c>
      <c r="G584" s="7" t="str">
        <f t="shared" si="107"/>
        <v>-73kg</v>
      </c>
      <c r="H584" s="7" t="str">
        <f>"0190027"</f>
        <v>0190027</v>
      </c>
      <c r="I584" s="7" t="str">
        <f t="shared" si="108"/>
        <v>QC</v>
      </c>
      <c r="J584" s="7" t="s">
        <v>167</v>
      </c>
      <c r="K584" s="7" t="str">
        <f>""</f>
        <v/>
      </c>
      <c r="L584" s="7" t="str">
        <f>""</f>
        <v/>
      </c>
      <c r="M584" s="7" t="s">
        <v>261</v>
      </c>
      <c r="N584" s="7"/>
    </row>
    <row r="585" spans="1:14" x14ac:dyDescent="0.25">
      <c r="A585" s="7" t="str">
        <f>"Yorick"</f>
        <v>Yorick</v>
      </c>
      <c r="B585" s="7" t="str">
        <f>"Desrochers"</f>
        <v>Desrochers</v>
      </c>
      <c r="C585" s="7" t="str">
        <f t="shared" si="106"/>
        <v>M</v>
      </c>
      <c r="D585" s="7" t="str">
        <f t="shared" si="105"/>
        <v>U18</v>
      </c>
      <c r="E585" s="2">
        <v>2003</v>
      </c>
      <c r="F585" s="7" t="str">
        <f>"Académie de judo de Saint-Sauveur"</f>
        <v>Académie de judo de Saint-Sauveur</v>
      </c>
      <c r="G585" s="7" t="str">
        <f t="shared" si="107"/>
        <v>-73kg</v>
      </c>
      <c r="H585" s="7" t="str">
        <f>"0155091"</f>
        <v>0155091</v>
      </c>
      <c r="I585" s="7" t="str">
        <f t="shared" si="108"/>
        <v>QC</v>
      </c>
      <c r="J585" s="7" t="s">
        <v>167</v>
      </c>
      <c r="K585" s="7" t="str">
        <f>""</f>
        <v/>
      </c>
      <c r="L585" s="7" t="str">
        <f>""</f>
        <v/>
      </c>
      <c r="M585" s="7" t="s">
        <v>261</v>
      </c>
      <c r="N585" s="7"/>
    </row>
    <row r="586" spans="1:14" x14ac:dyDescent="0.25">
      <c r="A586" s="7" t="str">
        <f>"Kyle"</f>
        <v>Kyle</v>
      </c>
      <c r="B586" s="7" t="str">
        <f>"Fortin"</f>
        <v>Fortin</v>
      </c>
      <c r="C586" s="7" t="str">
        <f t="shared" si="106"/>
        <v>M</v>
      </c>
      <c r="D586" s="7" t="str">
        <f t="shared" si="105"/>
        <v>U18</v>
      </c>
      <c r="E586" s="2">
        <v>2002</v>
      </c>
      <c r="F586" s="7" t="str">
        <f>"Judo Univestrie/donini"</f>
        <v>Judo Univestrie/donini</v>
      </c>
      <c r="G586" s="7" t="str">
        <f t="shared" si="107"/>
        <v>-73kg</v>
      </c>
      <c r="H586" s="7" t="str">
        <f>"0176018"</f>
        <v>0176018</v>
      </c>
      <c r="I586" s="7" t="str">
        <f t="shared" si="108"/>
        <v>QC</v>
      </c>
      <c r="J586" s="7" t="s">
        <v>167</v>
      </c>
      <c r="K586" s="7" t="str">
        <f>""</f>
        <v/>
      </c>
      <c r="L586" s="7" t="str">
        <f>""</f>
        <v/>
      </c>
      <c r="M586" s="7" t="s">
        <v>261</v>
      </c>
      <c r="N586" s="7"/>
    </row>
    <row r="587" spans="1:14" x14ac:dyDescent="0.25">
      <c r="A587" s="7" t="str">
        <f>"Alec"</f>
        <v>Alec</v>
      </c>
      <c r="B587" s="7" t="str">
        <f>"Garand"</f>
        <v>Garand</v>
      </c>
      <c r="C587" s="7" t="str">
        <f t="shared" si="106"/>
        <v>M</v>
      </c>
      <c r="D587" s="7" t="str">
        <f t="shared" si="105"/>
        <v>U18</v>
      </c>
      <c r="E587" s="2">
        <v>2003</v>
      </c>
      <c r="F587" s="7" t="str">
        <f>"Dojo Zenshin"</f>
        <v>Dojo Zenshin</v>
      </c>
      <c r="G587" s="7" t="str">
        <f t="shared" si="107"/>
        <v>-73kg</v>
      </c>
      <c r="H587" s="7" t="str">
        <f>"0169892"</f>
        <v>0169892</v>
      </c>
      <c r="I587" s="7" t="str">
        <f t="shared" si="108"/>
        <v>QC</v>
      </c>
      <c r="J587" s="7" t="s">
        <v>167</v>
      </c>
      <c r="K587" s="7" t="str">
        <f>""</f>
        <v/>
      </c>
      <c r="L587" s="7" t="str">
        <f>""</f>
        <v/>
      </c>
      <c r="M587" s="7" t="s">
        <v>261</v>
      </c>
      <c r="N587" s="7"/>
    </row>
    <row r="588" spans="1:14" x14ac:dyDescent="0.25">
      <c r="A588" s="7" t="s">
        <v>66</v>
      </c>
      <c r="B588" s="7" t="s">
        <v>67</v>
      </c>
      <c r="C588" s="7" t="s">
        <v>13</v>
      </c>
      <c r="D588" s="7" t="str">
        <f t="shared" si="105"/>
        <v>U18</v>
      </c>
      <c r="E588" s="2">
        <v>2002</v>
      </c>
      <c r="F588" s="7" t="s">
        <v>48</v>
      </c>
      <c r="G588" s="7" t="s">
        <v>61</v>
      </c>
      <c r="H588" s="7" t="s">
        <v>68</v>
      </c>
      <c r="I588" s="7" t="s">
        <v>17</v>
      </c>
      <c r="J588" s="7" t="s">
        <v>167</v>
      </c>
      <c r="K588" s="7" t="s">
        <v>10</v>
      </c>
      <c r="L588" s="7" t="s">
        <v>10</v>
      </c>
      <c r="M588" s="7" t="s">
        <v>261</v>
      </c>
      <c r="N588" s="7"/>
    </row>
    <row r="589" spans="1:14" x14ac:dyDescent="0.25">
      <c r="A589" s="7" t="str">
        <f>"Michel"</f>
        <v>Michel</v>
      </c>
      <c r="B589" s="7" t="str">
        <f>"Gouin"</f>
        <v>Gouin</v>
      </c>
      <c r="C589" s="7" t="str">
        <f>"M"</f>
        <v>M</v>
      </c>
      <c r="D589" s="7" t="str">
        <f t="shared" si="105"/>
        <v>U18</v>
      </c>
      <c r="E589" s="2">
        <v>2002</v>
      </c>
      <c r="F589" s="7" t="str">
        <f>"Judo Blainville"</f>
        <v>Judo Blainville</v>
      </c>
      <c r="G589" s="7" t="str">
        <f>"-73kg"</f>
        <v>-73kg</v>
      </c>
      <c r="H589" s="7" t="str">
        <f>"0167584"</f>
        <v>0167584</v>
      </c>
      <c r="I589" s="7" t="str">
        <f>"QC"</f>
        <v>QC</v>
      </c>
      <c r="J589" s="7" t="s">
        <v>168</v>
      </c>
      <c r="K589" s="7" t="str">
        <f>""</f>
        <v/>
      </c>
      <c r="L589" s="7" t="str">
        <f>""</f>
        <v/>
      </c>
      <c r="M589" s="7" t="s">
        <v>261</v>
      </c>
      <c r="N589" s="7"/>
    </row>
    <row r="590" spans="1:14" x14ac:dyDescent="0.25">
      <c r="A590" s="7" t="str">
        <f>"Felix"</f>
        <v>Felix</v>
      </c>
      <c r="B590" s="7" t="str">
        <f>"Labelle"</f>
        <v>Labelle</v>
      </c>
      <c r="C590" s="7" t="str">
        <f>"M"</f>
        <v>M</v>
      </c>
      <c r="D590" s="7" t="str">
        <f t="shared" si="105"/>
        <v>U18</v>
      </c>
      <c r="E590" s="2">
        <v>2003</v>
      </c>
      <c r="F590" s="7" t="str">
        <f>"Académie de judo de Saint-Sauveur"</f>
        <v>Académie de judo de Saint-Sauveur</v>
      </c>
      <c r="G590" s="7" t="str">
        <f>"-73kg"</f>
        <v>-73kg</v>
      </c>
      <c r="H590" s="7" t="str">
        <f>"0197733"</f>
        <v>0197733</v>
      </c>
      <c r="I590" s="7" t="str">
        <f>"QC"</f>
        <v>QC</v>
      </c>
      <c r="J590" s="7" t="s">
        <v>163</v>
      </c>
      <c r="K590" s="7" t="str">
        <f>""</f>
        <v/>
      </c>
      <c r="L590" s="7" t="str">
        <f>""</f>
        <v/>
      </c>
      <c r="M590" s="7" t="s">
        <v>261</v>
      </c>
      <c r="N590" s="7"/>
    </row>
    <row r="591" spans="1:14" x14ac:dyDescent="0.25">
      <c r="A591" s="7" t="str">
        <f>"Olivier"</f>
        <v>Olivier</v>
      </c>
      <c r="B591" s="7" t="str">
        <f>"Michaud"</f>
        <v>Michaud</v>
      </c>
      <c r="C591" s="7" t="str">
        <f>"M"</f>
        <v>M</v>
      </c>
      <c r="D591" s="7" t="str">
        <f t="shared" si="105"/>
        <v>U18</v>
      </c>
      <c r="E591" s="2">
        <v>2003</v>
      </c>
      <c r="F591" s="7" t="str">
        <f>"Judo-La Pocatiere"</f>
        <v>Judo-La Pocatiere</v>
      </c>
      <c r="G591" s="7" t="str">
        <f>"-73kg"</f>
        <v>-73kg</v>
      </c>
      <c r="H591" s="7" t="str">
        <f>"0196994"</f>
        <v>0196994</v>
      </c>
      <c r="I591" s="7" t="str">
        <f>"QC"</f>
        <v>QC</v>
      </c>
      <c r="J591" s="7" t="s">
        <v>167</v>
      </c>
      <c r="K591" s="7" t="str">
        <f>""</f>
        <v/>
      </c>
      <c r="L591" s="7" t="str">
        <f>""</f>
        <v/>
      </c>
      <c r="M591" s="7" t="s">
        <v>261</v>
      </c>
      <c r="N591" s="7"/>
    </row>
    <row r="592" spans="1:14" x14ac:dyDescent="0.25">
      <c r="A592" s="7" t="s">
        <v>97</v>
      </c>
      <c r="B592" s="7" t="s">
        <v>98</v>
      </c>
      <c r="C592" s="7" t="s">
        <v>13</v>
      </c>
      <c r="D592" s="7" t="str">
        <f t="shared" si="105"/>
        <v>U18</v>
      </c>
      <c r="E592" s="2">
        <v>2002</v>
      </c>
      <c r="F592" s="7" t="s">
        <v>14</v>
      </c>
      <c r="G592" s="7" t="s">
        <v>61</v>
      </c>
      <c r="H592" s="7" t="s">
        <v>99</v>
      </c>
      <c r="I592" s="7" t="s">
        <v>17</v>
      </c>
      <c r="J592" s="7" t="s">
        <v>167</v>
      </c>
      <c r="K592" s="7" t="s">
        <v>10</v>
      </c>
      <c r="L592" s="7" t="s">
        <v>10</v>
      </c>
      <c r="M592" s="7" t="s">
        <v>261</v>
      </c>
      <c r="N592" s="7"/>
    </row>
    <row r="593" spans="1:14" x14ac:dyDescent="0.25">
      <c r="A593" s="7" t="str">
        <f>"Édouard"</f>
        <v>Édouard</v>
      </c>
      <c r="B593" s="7" t="str">
        <f>"Paiement"</f>
        <v>Paiement</v>
      </c>
      <c r="C593" s="7" t="str">
        <f>"M"</f>
        <v>M</v>
      </c>
      <c r="D593" s="7" t="str">
        <f t="shared" si="105"/>
        <v>U18</v>
      </c>
      <c r="E593" s="2">
        <v>2003</v>
      </c>
      <c r="F593" s="7" t="str">
        <f>"Club de Judo Boucherville inc."</f>
        <v>Club de Judo Boucherville inc.</v>
      </c>
      <c r="G593" s="7" t="str">
        <f>"-73kg"</f>
        <v>-73kg</v>
      </c>
      <c r="H593" s="7" t="str">
        <f>"0153415"</f>
        <v>0153415</v>
      </c>
      <c r="I593" s="7" t="str">
        <f>"QC"</f>
        <v>QC</v>
      </c>
      <c r="J593" s="7" t="s">
        <v>167</v>
      </c>
      <c r="K593" s="7" t="str">
        <f>""</f>
        <v/>
      </c>
      <c r="L593" s="7" t="str">
        <f>""</f>
        <v/>
      </c>
      <c r="M593" s="7" t="s">
        <v>261</v>
      </c>
      <c r="N593" s="7"/>
    </row>
    <row r="594" spans="1:14" x14ac:dyDescent="0.25">
      <c r="A594" s="7" t="s">
        <v>94</v>
      </c>
      <c r="B594" s="7" t="s">
        <v>95</v>
      </c>
      <c r="C594" s="7" t="s">
        <v>13</v>
      </c>
      <c r="D594" s="7" t="str">
        <f t="shared" si="105"/>
        <v>U18</v>
      </c>
      <c r="E594" s="2">
        <v>2004</v>
      </c>
      <c r="F594" s="7" t="s">
        <v>14</v>
      </c>
      <c r="G594" s="7" t="s">
        <v>61</v>
      </c>
      <c r="H594" s="7" t="s">
        <v>96</v>
      </c>
      <c r="I594" s="7" t="s">
        <v>17</v>
      </c>
      <c r="J594" s="7" t="s">
        <v>167</v>
      </c>
      <c r="K594" s="7" t="s">
        <v>10</v>
      </c>
      <c r="L594" s="7" t="s">
        <v>10</v>
      </c>
      <c r="M594" s="7" t="s">
        <v>261</v>
      </c>
      <c r="N594" s="7"/>
    </row>
    <row r="595" spans="1:14" x14ac:dyDescent="0.25">
      <c r="A595" s="6" t="str">
        <f>"Charles-Francis"</f>
        <v>Charles-Francis</v>
      </c>
      <c r="B595" s="6" t="str">
        <f>"Damedey"</f>
        <v>Damedey</v>
      </c>
      <c r="C595" s="6" t="str">
        <f>"M"</f>
        <v>M</v>
      </c>
      <c r="D595" s="6" t="str">
        <f t="shared" si="105"/>
        <v>U18</v>
      </c>
      <c r="E595" s="2">
        <v>2002</v>
      </c>
      <c r="F595" s="6" t="str">
        <f>"Judosphère"</f>
        <v>Judosphère</v>
      </c>
      <c r="G595" s="6" t="str">
        <f>"-81kg"</f>
        <v>-81kg</v>
      </c>
      <c r="H595" s="6" t="str">
        <f>"0162209"</f>
        <v>0162209</v>
      </c>
      <c r="I595" s="6" t="str">
        <f>"QC"</f>
        <v>QC</v>
      </c>
      <c r="J595" s="6" t="s">
        <v>174</v>
      </c>
      <c r="K595" s="6" t="str">
        <f>""</f>
        <v/>
      </c>
      <c r="L595" s="6" t="str">
        <f>""</f>
        <v/>
      </c>
      <c r="M595" s="6" t="s">
        <v>259</v>
      </c>
      <c r="N595" s="6"/>
    </row>
    <row r="596" spans="1:14" x14ac:dyDescent="0.25">
      <c r="A596" s="6" t="str">
        <f>"Renaud"</f>
        <v>Renaud</v>
      </c>
      <c r="B596" s="6" t="str">
        <f>"Lapointe"</f>
        <v>Lapointe</v>
      </c>
      <c r="C596" s="6" t="str">
        <f>"M"</f>
        <v>M</v>
      </c>
      <c r="D596" s="6" t="str">
        <f t="shared" si="105"/>
        <v>U18</v>
      </c>
      <c r="E596" s="2">
        <v>2002</v>
      </c>
      <c r="F596" s="6" t="str">
        <f>"Club judokas Jonquière inc."</f>
        <v>Club judokas Jonquière inc.</v>
      </c>
      <c r="G596" s="6" t="str">
        <f>"-81kg"</f>
        <v>-81kg</v>
      </c>
      <c r="H596" s="6" t="str">
        <f>"0145327"</f>
        <v>0145327</v>
      </c>
      <c r="I596" s="6" t="str">
        <f>"QC"</f>
        <v>QC</v>
      </c>
      <c r="J596" s="6" t="s">
        <v>167</v>
      </c>
      <c r="K596" s="6" t="str">
        <f>""</f>
        <v/>
      </c>
      <c r="L596" s="6" t="str">
        <f>""</f>
        <v/>
      </c>
      <c r="M596" s="6" t="s">
        <v>259</v>
      </c>
      <c r="N596" s="6"/>
    </row>
    <row r="597" spans="1:14" x14ac:dyDescent="0.25">
      <c r="A597" s="6" t="s">
        <v>46</v>
      </c>
      <c r="B597" s="6" t="s">
        <v>100</v>
      </c>
      <c r="C597" s="6" t="s">
        <v>13</v>
      </c>
      <c r="D597" s="6" t="str">
        <f t="shared" si="105"/>
        <v>U18</v>
      </c>
      <c r="E597" s="2">
        <v>2003</v>
      </c>
      <c r="F597" s="6" t="s">
        <v>101</v>
      </c>
      <c r="G597" s="6" t="s">
        <v>57</v>
      </c>
      <c r="H597" s="6" t="s">
        <v>102</v>
      </c>
      <c r="I597" s="6" t="s">
        <v>17</v>
      </c>
      <c r="J597" s="6" t="s">
        <v>167</v>
      </c>
      <c r="K597" s="6" t="s">
        <v>10</v>
      </c>
      <c r="L597" s="6" t="s">
        <v>10</v>
      </c>
      <c r="M597" s="6" t="s">
        <v>259</v>
      </c>
      <c r="N597" s="6"/>
    </row>
    <row r="598" spans="1:14" x14ac:dyDescent="0.25">
      <c r="A598" s="6" t="s">
        <v>55</v>
      </c>
      <c r="B598" s="6" t="s">
        <v>56</v>
      </c>
      <c r="C598" s="6" t="s">
        <v>13</v>
      </c>
      <c r="D598" s="6" t="str">
        <f t="shared" si="105"/>
        <v>U18</v>
      </c>
      <c r="E598" s="2">
        <v>2002</v>
      </c>
      <c r="F598" s="6" t="s">
        <v>48</v>
      </c>
      <c r="G598" s="6" t="s">
        <v>57</v>
      </c>
      <c r="H598" s="6" t="s">
        <v>58</v>
      </c>
      <c r="I598" s="6" t="s">
        <v>17</v>
      </c>
      <c r="J598" s="6" t="s">
        <v>167</v>
      </c>
      <c r="K598" s="6" t="s">
        <v>10</v>
      </c>
      <c r="L598" s="6" t="s">
        <v>10</v>
      </c>
      <c r="M598" s="6" t="s">
        <v>259</v>
      </c>
      <c r="N598" s="6"/>
    </row>
    <row r="599" spans="1:14" x14ac:dyDescent="0.25">
      <c r="A599" s="4" t="str">
        <f>"Elias"</f>
        <v>Elias</v>
      </c>
      <c r="B599" s="4" t="str">
        <f>"Louahla"</f>
        <v>Louahla</v>
      </c>
      <c r="C599" s="4" t="str">
        <f>"M"</f>
        <v>M</v>
      </c>
      <c r="D599" s="4" t="str">
        <f t="shared" si="105"/>
        <v>U18</v>
      </c>
      <c r="E599" s="2">
        <v>2003</v>
      </c>
      <c r="F599" s="4" t="str">
        <f>"Club de judo Métropolitain inc."</f>
        <v>Club de judo Métropolitain inc.</v>
      </c>
      <c r="G599" s="4" t="str">
        <f>"-90kg"</f>
        <v>-90kg</v>
      </c>
      <c r="H599" s="4" t="str">
        <f>"0221733"</f>
        <v>0221733</v>
      </c>
      <c r="I599" s="4" t="str">
        <f>"QC"</f>
        <v>QC</v>
      </c>
      <c r="J599" s="4" t="s">
        <v>167</v>
      </c>
      <c r="K599" s="4" t="s">
        <v>151</v>
      </c>
      <c r="L599" s="4" t="s">
        <v>151</v>
      </c>
      <c r="M599" s="4" t="s">
        <v>258</v>
      </c>
      <c r="N599" s="4"/>
    </row>
    <row r="600" spans="1:14" x14ac:dyDescent="0.25">
      <c r="A600" s="7" t="str">
        <f>"Victor"</f>
        <v>Victor</v>
      </c>
      <c r="B600" s="7" t="str">
        <f>"Fayet"</f>
        <v>Fayet</v>
      </c>
      <c r="C600" s="7" t="str">
        <f>"M"</f>
        <v>M</v>
      </c>
      <c r="D600" s="7" t="str">
        <f>"U18 (Seulement)"</f>
        <v>U18 (Seulement)</v>
      </c>
      <c r="E600" s="2">
        <v>2003</v>
      </c>
      <c r="F600" s="7" t="str">
        <f>"Kiseki Judo"</f>
        <v>Kiseki Judo</v>
      </c>
      <c r="G600" s="7" t="str">
        <f>"-73kg"</f>
        <v>-73kg</v>
      </c>
      <c r="H600" s="7" t="str">
        <f>"0172344"</f>
        <v>0172344</v>
      </c>
      <c r="I600" s="7" t="str">
        <f>"QC"</f>
        <v>QC</v>
      </c>
      <c r="J600" s="7" t="s">
        <v>174</v>
      </c>
      <c r="K600" s="7" t="str">
        <f>""</f>
        <v/>
      </c>
      <c r="L600" s="7" t="str">
        <f>""</f>
        <v/>
      </c>
      <c r="M600" s="7" t="s">
        <v>261</v>
      </c>
      <c r="N600" s="7"/>
    </row>
    <row r="601" spans="1:14" x14ac:dyDescent="0.25">
      <c r="A601" s="6" t="s">
        <v>87</v>
      </c>
      <c r="B601" s="6" t="s">
        <v>88</v>
      </c>
      <c r="C601" s="6" t="s">
        <v>52</v>
      </c>
      <c r="D601" s="6" t="str">
        <f t="shared" ref="D601:D615" si="109">"U21"</f>
        <v>U21</v>
      </c>
      <c r="E601" s="2">
        <v>2003</v>
      </c>
      <c r="F601" s="6" t="s">
        <v>89</v>
      </c>
      <c r="G601" s="6" t="s">
        <v>53</v>
      </c>
      <c r="H601" s="6" t="s">
        <v>90</v>
      </c>
      <c r="I601" s="6" t="s">
        <v>17</v>
      </c>
      <c r="J601" s="6" t="s">
        <v>167</v>
      </c>
      <c r="K601" s="6" t="s">
        <v>10</v>
      </c>
      <c r="L601" s="6" t="s">
        <v>10</v>
      </c>
      <c r="M601" s="6" t="s">
        <v>268</v>
      </c>
    </row>
    <row r="602" spans="1:14" x14ac:dyDescent="0.25">
      <c r="A602" s="6" t="s">
        <v>106</v>
      </c>
      <c r="B602" s="6" t="s">
        <v>107</v>
      </c>
      <c r="C602" s="6" t="s">
        <v>52</v>
      </c>
      <c r="D602" s="6" t="str">
        <f t="shared" si="109"/>
        <v>U21</v>
      </c>
      <c r="E602" s="2">
        <v>2002</v>
      </c>
      <c r="F602" s="6" t="s">
        <v>29</v>
      </c>
      <c r="G602" s="6" t="s">
        <v>53</v>
      </c>
      <c r="H602" s="6" t="s">
        <v>108</v>
      </c>
      <c r="I602" s="6" t="s">
        <v>17</v>
      </c>
      <c r="J602" s="6" t="s">
        <v>168</v>
      </c>
      <c r="K602" s="6" t="s">
        <v>10</v>
      </c>
      <c r="L602" s="6" t="s">
        <v>10</v>
      </c>
      <c r="M602" s="6" t="s">
        <v>268</v>
      </c>
    </row>
    <row r="603" spans="1:14" x14ac:dyDescent="0.25">
      <c r="A603" s="4" t="s">
        <v>27</v>
      </c>
      <c r="B603" s="4" t="s">
        <v>28</v>
      </c>
      <c r="C603" s="4" t="s">
        <v>13</v>
      </c>
      <c r="D603" s="4" t="str">
        <f t="shared" si="109"/>
        <v>U21</v>
      </c>
      <c r="E603" s="2">
        <v>2003</v>
      </c>
      <c r="F603" s="4" t="s">
        <v>29</v>
      </c>
      <c r="G603" s="4" t="s">
        <v>30</v>
      </c>
      <c r="H603" s="4" t="s">
        <v>31</v>
      </c>
      <c r="I603" s="4" t="s">
        <v>17</v>
      </c>
      <c r="J603" s="4" t="s">
        <v>167</v>
      </c>
      <c r="K603" s="4" t="s">
        <v>151</v>
      </c>
      <c r="L603" s="4" t="s">
        <v>151</v>
      </c>
      <c r="M603" s="4" t="s">
        <v>298</v>
      </c>
    </row>
    <row r="604" spans="1:14" x14ac:dyDescent="0.25">
      <c r="A604" s="7" t="s">
        <v>18</v>
      </c>
      <c r="B604" s="7" t="s">
        <v>19</v>
      </c>
      <c r="C604" s="7" t="s">
        <v>13</v>
      </c>
      <c r="D604" s="7" t="str">
        <f t="shared" si="109"/>
        <v>U21</v>
      </c>
      <c r="E604" s="2">
        <v>2002</v>
      </c>
      <c r="F604" s="7" t="s">
        <v>20</v>
      </c>
      <c r="G604" s="7" t="s">
        <v>21</v>
      </c>
      <c r="H604" s="7" t="s">
        <v>22</v>
      </c>
      <c r="I604" s="7" t="s">
        <v>17</v>
      </c>
      <c r="J604" s="7" t="s">
        <v>168</v>
      </c>
      <c r="K604" s="7" t="s">
        <v>10</v>
      </c>
      <c r="L604" s="7" t="s">
        <v>10</v>
      </c>
      <c r="M604" s="7" t="s">
        <v>278</v>
      </c>
      <c r="N604" s="7"/>
    </row>
    <row r="605" spans="1:14" x14ac:dyDescent="0.25">
      <c r="A605" s="6" t="s">
        <v>36</v>
      </c>
      <c r="B605" s="6" t="s">
        <v>37</v>
      </c>
      <c r="C605" s="6" t="s">
        <v>13</v>
      </c>
      <c r="D605" s="6" t="str">
        <f t="shared" si="109"/>
        <v>U21</v>
      </c>
      <c r="E605" s="2">
        <v>2002</v>
      </c>
      <c r="F605" s="6" t="s">
        <v>38</v>
      </c>
      <c r="G605" s="6" t="s">
        <v>15</v>
      </c>
      <c r="H605" s="6" t="s">
        <v>39</v>
      </c>
      <c r="I605" s="6" t="s">
        <v>17</v>
      </c>
      <c r="J605" s="6" t="s">
        <v>167</v>
      </c>
      <c r="K605" s="6" t="s">
        <v>10</v>
      </c>
      <c r="L605" s="6" t="s">
        <v>10</v>
      </c>
      <c r="M605" s="6" t="s">
        <v>282</v>
      </c>
      <c r="N605" s="6"/>
    </row>
    <row r="606" spans="1:14" x14ac:dyDescent="0.25">
      <c r="A606" s="6" t="s">
        <v>69</v>
      </c>
      <c r="B606" s="6" t="s">
        <v>70</v>
      </c>
      <c r="C606" s="6" t="s">
        <v>13</v>
      </c>
      <c r="D606" s="6" t="str">
        <f t="shared" si="109"/>
        <v>U21</v>
      </c>
      <c r="E606" s="2">
        <v>2003</v>
      </c>
      <c r="F606" s="6" t="s">
        <v>71</v>
      </c>
      <c r="G606" s="6" t="s">
        <v>15</v>
      </c>
      <c r="H606" s="6" t="s">
        <v>72</v>
      </c>
      <c r="I606" s="6" t="s">
        <v>17</v>
      </c>
      <c r="J606" s="6" t="s">
        <v>167</v>
      </c>
      <c r="K606" s="6" t="s">
        <v>10</v>
      </c>
      <c r="L606" s="6" t="s">
        <v>10</v>
      </c>
      <c r="M606" s="6" t="s">
        <v>282</v>
      </c>
      <c r="N606" s="6"/>
    </row>
    <row r="607" spans="1:14" x14ac:dyDescent="0.25">
      <c r="A607" s="6" t="s">
        <v>11</v>
      </c>
      <c r="B607" s="6" t="s">
        <v>12</v>
      </c>
      <c r="C607" s="6" t="s">
        <v>13</v>
      </c>
      <c r="D607" s="6" t="str">
        <f t="shared" si="109"/>
        <v>U21</v>
      </c>
      <c r="E607" s="2">
        <v>2002</v>
      </c>
      <c r="F607" s="6" t="s">
        <v>14</v>
      </c>
      <c r="G607" s="6" t="s">
        <v>15</v>
      </c>
      <c r="H607" s="6" t="s">
        <v>16</v>
      </c>
      <c r="I607" s="6" t="s">
        <v>17</v>
      </c>
      <c r="J607" s="6" t="s">
        <v>167</v>
      </c>
      <c r="K607" s="6" t="s">
        <v>10</v>
      </c>
      <c r="L607" s="6" t="s">
        <v>10</v>
      </c>
      <c r="M607" s="6" t="s">
        <v>282</v>
      </c>
      <c r="N607" s="6"/>
    </row>
    <row r="608" spans="1:14" x14ac:dyDescent="0.25">
      <c r="A608" s="6" t="s">
        <v>103</v>
      </c>
      <c r="B608" s="6" t="s">
        <v>104</v>
      </c>
      <c r="C608" s="6" t="s">
        <v>13</v>
      </c>
      <c r="D608" s="6" t="str">
        <f t="shared" si="109"/>
        <v>U21</v>
      </c>
      <c r="E608" s="2">
        <v>2002</v>
      </c>
      <c r="F608" s="6" t="s">
        <v>48</v>
      </c>
      <c r="G608" s="6" t="s">
        <v>15</v>
      </c>
      <c r="H608" s="6" t="s">
        <v>105</v>
      </c>
      <c r="I608" s="6" t="s">
        <v>17</v>
      </c>
      <c r="J608" s="6" t="s">
        <v>167</v>
      </c>
      <c r="K608" s="6" t="s">
        <v>10</v>
      </c>
      <c r="L608" s="6" t="s">
        <v>10</v>
      </c>
      <c r="M608" s="6" t="s">
        <v>282</v>
      </c>
      <c r="N608" s="6"/>
    </row>
    <row r="609" spans="1:14" x14ac:dyDescent="0.25">
      <c r="A609" s="6" t="s">
        <v>73</v>
      </c>
      <c r="B609" s="6" t="s">
        <v>74</v>
      </c>
      <c r="C609" s="6" t="s">
        <v>13</v>
      </c>
      <c r="D609" s="6" t="str">
        <f t="shared" si="109"/>
        <v>U21</v>
      </c>
      <c r="E609" s="2">
        <v>2002</v>
      </c>
      <c r="F609" s="6" t="s">
        <v>71</v>
      </c>
      <c r="G609" s="6" t="s">
        <v>15</v>
      </c>
      <c r="H609" s="6" t="s">
        <v>75</v>
      </c>
      <c r="I609" s="6" t="s">
        <v>17</v>
      </c>
      <c r="J609" s="6" t="s">
        <v>168</v>
      </c>
      <c r="K609" s="6" t="s">
        <v>10</v>
      </c>
      <c r="L609" s="6" t="s">
        <v>10</v>
      </c>
      <c r="M609" s="6" t="s">
        <v>282</v>
      </c>
      <c r="N609" s="6"/>
    </row>
    <row r="610" spans="1:14" x14ac:dyDescent="0.25">
      <c r="A610" s="6" t="s">
        <v>46</v>
      </c>
      <c r="B610" s="6" t="s">
        <v>47</v>
      </c>
      <c r="C610" s="6" t="s">
        <v>13</v>
      </c>
      <c r="D610" s="6" t="str">
        <f t="shared" si="109"/>
        <v>U21</v>
      </c>
      <c r="E610" s="2">
        <v>2002</v>
      </c>
      <c r="F610" s="6" t="s">
        <v>48</v>
      </c>
      <c r="G610" s="6" t="s">
        <v>15</v>
      </c>
      <c r="H610" s="6" t="s">
        <v>49</v>
      </c>
      <c r="I610" s="6" t="s">
        <v>17</v>
      </c>
      <c r="J610" s="6" t="s">
        <v>167</v>
      </c>
      <c r="K610" s="6" t="s">
        <v>10</v>
      </c>
      <c r="L610" s="6" t="s">
        <v>10</v>
      </c>
      <c r="M610" s="6" t="s">
        <v>282</v>
      </c>
      <c r="N610" s="6"/>
    </row>
    <row r="611" spans="1:14" x14ac:dyDescent="0.25">
      <c r="A611" s="7" t="s">
        <v>59</v>
      </c>
      <c r="B611" s="7" t="s">
        <v>60</v>
      </c>
      <c r="C611" s="7" t="s">
        <v>13</v>
      </c>
      <c r="D611" s="7" t="str">
        <f t="shared" si="109"/>
        <v>U21</v>
      </c>
      <c r="E611" s="2">
        <v>2002</v>
      </c>
      <c r="F611" s="7" t="s">
        <v>48</v>
      </c>
      <c r="G611" s="7" t="s">
        <v>61</v>
      </c>
      <c r="H611" s="7" t="s">
        <v>62</v>
      </c>
      <c r="I611" s="7" t="s">
        <v>17</v>
      </c>
      <c r="J611" s="7" t="s">
        <v>167</v>
      </c>
      <c r="K611" s="7" t="s">
        <v>10</v>
      </c>
      <c r="L611" s="7" t="s">
        <v>10</v>
      </c>
      <c r="M611" s="7" t="s">
        <v>279</v>
      </c>
      <c r="N611" s="7"/>
    </row>
    <row r="612" spans="1:14" x14ac:dyDescent="0.25">
      <c r="A612" s="7" t="s">
        <v>66</v>
      </c>
      <c r="B612" s="7" t="s">
        <v>67</v>
      </c>
      <c r="C612" s="7" t="s">
        <v>13</v>
      </c>
      <c r="D612" s="7" t="str">
        <f t="shared" si="109"/>
        <v>U21</v>
      </c>
      <c r="E612" s="2">
        <v>2002</v>
      </c>
      <c r="F612" s="7" t="s">
        <v>48</v>
      </c>
      <c r="G612" s="7" t="s">
        <v>61</v>
      </c>
      <c r="H612" s="7" t="s">
        <v>68</v>
      </c>
      <c r="I612" s="7" t="s">
        <v>17</v>
      </c>
      <c r="J612" s="7" t="s">
        <v>167</v>
      </c>
      <c r="K612" s="7" t="s">
        <v>10</v>
      </c>
      <c r="L612" s="7" t="s">
        <v>10</v>
      </c>
      <c r="M612" s="7" t="s">
        <v>279</v>
      </c>
      <c r="N612" s="7"/>
    </row>
    <row r="613" spans="1:14" ht="13.9" customHeight="1" x14ac:dyDescent="0.25">
      <c r="A613" s="7" t="s">
        <v>97</v>
      </c>
      <c r="B613" s="7" t="s">
        <v>98</v>
      </c>
      <c r="C613" s="7" t="s">
        <v>13</v>
      </c>
      <c r="D613" s="7" t="str">
        <f t="shared" si="109"/>
        <v>U21</v>
      </c>
      <c r="E613" s="2">
        <v>2002</v>
      </c>
      <c r="F613" s="7" t="s">
        <v>14</v>
      </c>
      <c r="G613" s="7" t="s">
        <v>61</v>
      </c>
      <c r="H613" s="7" t="s">
        <v>99</v>
      </c>
      <c r="I613" s="7" t="s">
        <v>17</v>
      </c>
      <c r="J613" s="7" t="s">
        <v>167</v>
      </c>
      <c r="K613" s="7" t="s">
        <v>10</v>
      </c>
      <c r="L613" s="7" t="s">
        <v>10</v>
      </c>
      <c r="M613" s="7" t="s">
        <v>279</v>
      </c>
      <c r="N613" s="7"/>
    </row>
    <row r="614" spans="1:14" x14ac:dyDescent="0.25">
      <c r="A614" s="6" t="s">
        <v>46</v>
      </c>
      <c r="B614" s="6" t="s">
        <v>100</v>
      </c>
      <c r="C614" s="6" t="s">
        <v>13</v>
      </c>
      <c r="D614" s="6" t="str">
        <f t="shared" si="109"/>
        <v>U21</v>
      </c>
      <c r="E614" s="2">
        <v>2003</v>
      </c>
      <c r="F614" s="6" t="s">
        <v>101</v>
      </c>
      <c r="G614" s="6" t="s">
        <v>57</v>
      </c>
      <c r="H614" s="6" t="s">
        <v>102</v>
      </c>
      <c r="I614" s="6" t="s">
        <v>17</v>
      </c>
      <c r="J614" s="6" t="s">
        <v>167</v>
      </c>
      <c r="K614" s="6" t="s">
        <v>10</v>
      </c>
      <c r="L614" s="6" t="s">
        <v>10</v>
      </c>
      <c r="M614" s="6" t="s">
        <v>281</v>
      </c>
      <c r="N614" s="6"/>
    </row>
    <row r="615" spans="1:14" x14ac:dyDescent="0.25">
      <c r="A615" s="6" t="s">
        <v>55</v>
      </c>
      <c r="B615" s="6" t="s">
        <v>56</v>
      </c>
      <c r="C615" s="6" t="s">
        <v>13</v>
      </c>
      <c r="D615" s="6" t="str">
        <f t="shared" si="109"/>
        <v>U21</v>
      </c>
      <c r="E615" s="2">
        <v>2002</v>
      </c>
      <c r="F615" s="6" t="s">
        <v>48</v>
      </c>
      <c r="G615" s="6" t="s">
        <v>57</v>
      </c>
      <c r="H615" s="6" t="s">
        <v>58</v>
      </c>
      <c r="I615" s="6" t="s">
        <v>17</v>
      </c>
      <c r="J615" s="6" t="s">
        <v>167</v>
      </c>
      <c r="K615" s="6" t="s">
        <v>10</v>
      </c>
      <c r="L615" s="6" t="s">
        <v>10</v>
      </c>
      <c r="M615" s="6" t="s">
        <v>281</v>
      </c>
      <c r="N615" s="6"/>
    </row>
    <row r="616" spans="1:14" x14ac:dyDescent="0.25">
      <c r="A616" s="6" t="str">
        <f>"Nabila"</f>
        <v>Nabila</v>
      </c>
      <c r="B616" s="6" t="str">
        <f>"Berkat"</f>
        <v>Berkat</v>
      </c>
      <c r="C616" s="6" t="str">
        <f t="shared" ref="C616:C632" si="110">"F"</f>
        <v>F</v>
      </c>
      <c r="D616" s="6" t="str">
        <f t="shared" ref="D616:D647" si="111">"U21/Sénior (seulement)"</f>
        <v>U21/Sénior (seulement)</v>
      </c>
      <c r="E616" s="2">
        <v>1994</v>
      </c>
      <c r="F616" s="6" t="str">
        <f>"Kiseki Judo"</f>
        <v>Kiseki Judo</v>
      </c>
      <c r="G616" s="6" t="str">
        <f>"-48kg"</f>
        <v>-48kg</v>
      </c>
      <c r="H616" s="4" t="str">
        <f>"AutreFederation"</f>
        <v>AutreFederation</v>
      </c>
      <c r="I616" s="6" t="str">
        <f t="shared" ref="I616:I632" si="112">"QC"</f>
        <v>QC</v>
      </c>
      <c r="J616" s="6" t="s">
        <v>169</v>
      </c>
      <c r="K616" s="6" t="str">
        <f>""</f>
        <v/>
      </c>
      <c r="L616" s="6" t="str">
        <f>""</f>
        <v/>
      </c>
      <c r="M616" s="6" t="s">
        <v>266</v>
      </c>
    </row>
    <row r="617" spans="1:14" x14ac:dyDescent="0.25">
      <c r="A617" s="6" t="str">
        <f>"Mélodie"</f>
        <v>Mélodie</v>
      </c>
      <c r="B617" s="6" t="str">
        <f>"Mailhot-Senez"</f>
        <v>Mailhot-Senez</v>
      </c>
      <c r="C617" s="6" t="str">
        <f t="shared" si="110"/>
        <v>F</v>
      </c>
      <c r="D617" s="6" t="str">
        <f t="shared" si="111"/>
        <v>U21/Sénior (seulement)</v>
      </c>
      <c r="E617" s="2">
        <v>2001</v>
      </c>
      <c r="F617" s="6" t="str">
        <f>"Bushidokan"</f>
        <v>Bushidokan</v>
      </c>
      <c r="G617" s="6" t="str">
        <f>"-48kg"</f>
        <v>-48kg</v>
      </c>
      <c r="H617" s="6" t="str">
        <f>"0146269"</f>
        <v>0146269</v>
      </c>
      <c r="I617" s="6" t="str">
        <f t="shared" si="112"/>
        <v>QC</v>
      </c>
      <c r="J617" s="6" t="s">
        <v>167</v>
      </c>
      <c r="K617" s="6" t="str">
        <f>""</f>
        <v/>
      </c>
      <c r="L617" s="6" t="str">
        <f>""</f>
        <v/>
      </c>
      <c r="M617" s="6" t="s">
        <v>266</v>
      </c>
    </row>
    <row r="618" spans="1:14" x14ac:dyDescent="0.25">
      <c r="A618" s="7" t="str">
        <f>"Emmanuelle"</f>
        <v>Emmanuelle</v>
      </c>
      <c r="B618" s="7" t="str">
        <f>"Batisse"</f>
        <v>Batisse</v>
      </c>
      <c r="C618" s="7" t="str">
        <f t="shared" si="110"/>
        <v>F</v>
      </c>
      <c r="D618" s="7" t="str">
        <f t="shared" si="111"/>
        <v>U21/Sénior (seulement)</v>
      </c>
      <c r="E618" s="2">
        <v>1993</v>
      </c>
      <c r="F618" s="7" t="str">
        <f>"Kiseki Judo"</f>
        <v>Kiseki Judo</v>
      </c>
      <c r="G618" s="7" t="str">
        <f>"-57kg"</f>
        <v>-57kg</v>
      </c>
      <c r="H618" s="7" t="str">
        <f>"0179901"</f>
        <v>0179901</v>
      </c>
      <c r="I618" s="7" t="str">
        <f t="shared" si="112"/>
        <v>QC</v>
      </c>
      <c r="J618" s="7" t="s">
        <v>168</v>
      </c>
      <c r="K618" s="7" t="str">
        <f>""</f>
        <v/>
      </c>
      <c r="L618" s="7" t="str">
        <f>""</f>
        <v/>
      </c>
      <c r="M618" s="7" t="s">
        <v>267</v>
      </c>
    </row>
    <row r="619" spans="1:14" x14ac:dyDescent="0.25">
      <c r="A619" s="7" t="str">
        <f>"Katelin"</f>
        <v>Katelin</v>
      </c>
      <c r="B619" s="7" t="str">
        <f>"Bryan"</f>
        <v>Bryan</v>
      </c>
      <c r="C619" s="7" t="str">
        <f t="shared" si="110"/>
        <v>F</v>
      </c>
      <c r="D619" s="7" t="str">
        <f t="shared" si="111"/>
        <v>U21/Sénior (seulement)</v>
      </c>
      <c r="E619" s="2">
        <v>2001</v>
      </c>
      <c r="F619" s="7" t="str">
        <f>"Club de Judo du CMR Saint-Jean"</f>
        <v>Club de Judo du CMR Saint-Jean</v>
      </c>
      <c r="G619" s="7" t="str">
        <f>"-57kg"</f>
        <v>-57kg</v>
      </c>
      <c r="H619" s="7" t="str">
        <f>"0222809"</f>
        <v>0222809</v>
      </c>
      <c r="I619" s="7" t="str">
        <f t="shared" si="112"/>
        <v>QC</v>
      </c>
      <c r="J619" s="11" t="s">
        <v>174</v>
      </c>
      <c r="K619" s="7" t="str">
        <f>""</f>
        <v/>
      </c>
      <c r="L619" s="7" t="s">
        <v>270</v>
      </c>
      <c r="M619" s="7" t="s">
        <v>267</v>
      </c>
    </row>
    <row r="620" spans="1:14" x14ac:dyDescent="0.25">
      <c r="A620" s="5" t="str">
        <f>"Marie Celeste"</f>
        <v>Marie Celeste</v>
      </c>
      <c r="B620" s="5" t="str">
        <f>"Dalpra"</f>
        <v>Dalpra</v>
      </c>
      <c r="C620" s="5" t="str">
        <f t="shared" si="110"/>
        <v>F</v>
      </c>
      <c r="D620" s="5" t="str">
        <f t="shared" si="111"/>
        <v>U21/Sénior (seulement)</v>
      </c>
      <c r="E620" s="2">
        <v>1999</v>
      </c>
      <c r="F620" s="5" t="str">
        <f>"Club de Judo du CMR Saint-Jean"</f>
        <v>Club de Judo du CMR Saint-Jean</v>
      </c>
      <c r="G620" s="5" t="str">
        <f t="shared" ref="G620:G628" si="113">"-63kg"</f>
        <v>-63kg</v>
      </c>
      <c r="H620" s="5" t="str">
        <f>"0409438"</f>
        <v>0409438</v>
      </c>
      <c r="I620" s="5" t="str">
        <f t="shared" si="112"/>
        <v>QC</v>
      </c>
      <c r="J620" s="5" t="s">
        <v>165</v>
      </c>
      <c r="K620" s="5" t="str">
        <f>""</f>
        <v/>
      </c>
      <c r="L620" s="5" t="str">
        <f>""</f>
        <v/>
      </c>
      <c r="M620" s="5" t="s">
        <v>265</v>
      </c>
    </row>
    <row r="621" spans="1:14" x14ac:dyDescent="0.25">
      <c r="A621" s="5" t="str">
        <f>"Laurence"</f>
        <v>Laurence</v>
      </c>
      <c r="B621" s="5" t="str">
        <f>"Gagnon"</f>
        <v>Gagnon</v>
      </c>
      <c r="C621" s="5" t="str">
        <f t="shared" si="110"/>
        <v>F</v>
      </c>
      <c r="D621" s="5" t="str">
        <f t="shared" si="111"/>
        <v>U21/Sénior (seulement)</v>
      </c>
      <c r="E621" s="2">
        <v>2000</v>
      </c>
      <c r="F621" s="5" t="str">
        <f>"Club de Judo du CMR Saint-Jean"</f>
        <v>Club de Judo du CMR Saint-Jean</v>
      </c>
      <c r="G621" s="5" t="str">
        <f t="shared" si="113"/>
        <v>-63kg</v>
      </c>
      <c r="H621" s="5" t="str">
        <f>"0189634"</f>
        <v>0189634</v>
      </c>
      <c r="I621" s="5" t="str">
        <f t="shared" si="112"/>
        <v>QC</v>
      </c>
      <c r="J621" s="5" t="s">
        <v>171</v>
      </c>
      <c r="K621" s="5" t="str">
        <f>""</f>
        <v/>
      </c>
      <c r="L621" s="5" t="str">
        <f>""</f>
        <v/>
      </c>
      <c r="M621" s="5" t="s">
        <v>265</v>
      </c>
    </row>
    <row r="622" spans="1:14" x14ac:dyDescent="0.25">
      <c r="A622" s="6" t="str">
        <f>"Juliette"</f>
        <v>Juliette</v>
      </c>
      <c r="B622" s="6" t="str">
        <f>"Filion"</f>
        <v>Filion</v>
      </c>
      <c r="C622" s="6" t="str">
        <f t="shared" si="110"/>
        <v>F</v>
      </c>
      <c r="D622" s="6" t="str">
        <f t="shared" si="111"/>
        <v>U21/Sénior (seulement)</v>
      </c>
      <c r="E622" s="2">
        <v>2000</v>
      </c>
      <c r="F622" s="6" t="str">
        <f>"Club de Judo du CMR Saint-Jean"</f>
        <v>Club de Judo du CMR Saint-Jean</v>
      </c>
      <c r="G622" s="6" t="str">
        <f t="shared" si="113"/>
        <v>-63kg</v>
      </c>
      <c r="H622" s="6" t="str">
        <f>"0212459"</f>
        <v>0212459</v>
      </c>
      <c r="I622" s="6" t="str">
        <f t="shared" si="112"/>
        <v>QC</v>
      </c>
      <c r="J622" s="6" t="s">
        <v>163</v>
      </c>
      <c r="K622" s="6" t="str">
        <f>""</f>
        <v/>
      </c>
      <c r="L622" s="6" t="str">
        <f>""</f>
        <v/>
      </c>
      <c r="M622" s="6" t="s">
        <v>268</v>
      </c>
    </row>
    <row r="623" spans="1:14" x14ac:dyDescent="0.25">
      <c r="A623" s="6" t="str">
        <f>"Meriem"</f>
        <v>Meriem</v>
      </c>
      <c r="B623" s="6" t="str">
        <f>"Houla"</f>
        <v>Houla</v>
      </c>
      <c r="C623" s="6" t="str">
        <f t="shared" si="110"/>
        <v>F</v>
      </c>
      <c r="D623" s="6" t="str">
        <f t="shared" si="111"/>
        <v>U21/Sénior (seulement)</v>
      </c>
      <c r="E623" s="2">
        <v>1991</v>
      </c>
      <c r="F623" s="6" t="str">
        <f>"Kiseki Judo"</f>
        <v>Kiseki Judo</v>
      </c>
      <c r="G623" s="6" t="str">
        <f t="shared" si="113"/>
        <v>-63kg</v>
      </c>
      <c r="H623" s="4" t="str">
        <f>"AutreFederation"</f>
        <v>AutreFederation</v>
      </c>
      <c r="I623" s="6" t="str">
        <f t="shared" si="112"/>
        <v>QC</v>
      </c>
      <c r="J623" s="6" t="s">
        <v>168</v>
      </c>
      <c r="K623" s="6" t="str">
        <f>""</f>
        <v/>
      </c>
      <c r="L623" s="6" t="str">
        <f>""</f>
        <v/>
      </c>
      <c r="M623" s="6" t="s">
        <v>268</v>
      </c>
    </row>
    <row r="624" spans="1:14" x14ac:dyDescent="0.25">
      <c r="A624" s="6" t="str">
        <f>"Anick"</f>
        <v>Anick</v>
      </c>
      <c r="B624" s="6" t="str">
        <f>"Major"</f>
        <v>Major</v>
      </c>
      <c r="C624" s="6" t="str">
        <f t="shared" si="110"/>
        <v>F</v>
      </c>
      <c r="D624" s="6" t="str">
        <f t="shared" si="111"/>
        <v>U21/Sénior (seulement)</v>
      </c>
      <c r="E624" s="2">
        <v>1983</v>
      </c>
      <c r="F624" s="6" t="str">
        <f>"Club de judo Jukaido"</f>
        <v>Club de judo Jukaido</v>
      </c>
      <c r="G624" s="6" t="str">
        <f t="shared" si="113"/>
        <v>-63kg</v>
      </c>
      <c r="H624" s="6" t="str">
        <f>"0066675"</f>
        <v>0066675</v>
      </c>
      <c r="I624" s="6" t="str">
        <f t="shared" si="112"/>
        <v>QC</v>
      </c>
      <c r="J624" s="6" t="s">
        <v>163</v>
      </c>
      <c r="K624" s="6" t="str">
        <f>""</f>
        <v/>
      </c>
      <c r="L624" s="6" t="str">
        <f>""</f>
        <v/>
      </c>
      <c r="M624" s="6" t="s">
        <v>268</v>
      </c>
    </row>
    <row r="625" spans="1:14" x14ac:dyDescent="0.25">
      <c r="A625" s="6" t="str">
        <f>"Janie"</f>
        <v>Janie</v>
      </c>
      <c r="B625" s="6" t="str">
        <f>"Meunier"</f>
        <v>Meunier</v>
      </c>
      <c r="C625" s="6" t="str">
        <f t="shared" si="110"/>
        <v>F</v>
      </c>
      <c r="D625" s="6" t="str">
        <f t="shared" si="111"/>
        <v>U21/Sénior (seulement)</v>
      </c>
      <c r="E625" s="2">
        <v>1994</v>
      </c>
      <c r="F625" s="6" t="str">
        <f>"Club de judo Olympique"</f>
        <v>Club de judo Olympique</v>
      </c>
      <c r="G625" s="6" t="str">
        <f t="shared" si="113"/>
        <v>-63kg</v>
      </c>
      <c r="H625" s="6" t="str">
        <f>"0090451"</f>
        <v>0090451</v>
      </c>
      <c r="I625" s="6" t="str">
        <f t="shared" si="112"/>
        <v>QC</v>
      </c>
      <c r="J625" s="6" t="s">
        <v>168</v>
      </c>
      <c r="K625" s="6" t="str">
        <f>""</f>
        <v/>
      </c>
      <c r="L625" s="6" t="str">
        <f>""</f>
        <v/>
      </c>
      <c r="M625" s="6" t="s">
        <v>268</v>
      </c>
    </row>
    <row r="626" spans="1:14" x14ac:dyDescent="0.25">
      <c r="A626" s="6" t="str">
        <f>"Jasmine"</f>
        <v>Jasmine</v>
      </c>
      <c r="B626" s="6" t="str">
        <f>"Pitsilis"</f>
        <v>Pitsilis</v>
      </c>
      <c r="C626" s="6" t="str">
        <f t="shared" si="110"/>
        <v>F</v>
      </c>
      <c r="D626" s="6" t="str">
        <f t="shared" si="111"/>
        <v>U21/Sénior (seulement)</v>
      </c>
      <c r="E626" s="2">
        <v>1997</v>
      </c>
      <c r="F626" s="6" t="str">
        <f>"Kiseki Judo"</f>
        <v>Kiseki Judo</v>
      </c>
      <c r="G626" s="6" t="str">
        <f t="shared" si="113"/>
        <v>-63kg</v>
      </c>
      <c r="H626" s="6" t="str">
        <f>"0094096"</f>
        <v>0094096</v>
      </c>
      <c r="I626" s="6" t="str">
        <f t="shared" si="112"/>
        <v>QC</v>
      </c>
      <c r="J626" s="6" t="s">
        <v>168</v>
      </c>
      <c r="K626" s="6" t="str">
        <f>""</f>
        <v/>
      </c>
      <c r="L626" s="6" t="str">
        <f>""</f>
        <v/>
      </c>
      <c r="M626" s="6" t="s">
        <v>268</v>
      </c>
    </row>
    <row r="627" spans="1:14" x14ac:dyDescent="0.25">
      <c r="A627" s="6" t="str">
        <f>"Sandy"</f>
        <v>Sandy</v>
      </c>
      <c r="B627" s="6" t="str">
        <f>"Sirois"</f>
        <v>Sirois</v>
      </c>
      <c r="C627" s="6" t="str">
        <f t="shared" si="110"/>
        <v>F</v>
      </c>
      <c r="D627" s="6" t="str">
        <f t="shared" si="111"/>
        <v>U21/Sénior (seulement)</v>
      </c>
      <c r="E627" s="2">
        <v>1995</v>
      </c>
      <c r="F627" s="6" t="str">
        <f>"Club de judo Seïkidokan inc."</f>
        <v>Club de judo Seïkidokan inc.</v>
      </c>
      <c r="G627" s="6" t="str">
        <f t="shared" si="113"/>
        <v>-63kg</v>
      </c>
      <c r="H627" s="6" t="str">
        <f>"0231581"</f>
        <v>0231581</v>
      </c>
      <c r="I627" s="6" t="str">
        <f t="shared" si="112"/>
        <v>QC</v>
      </c>
      <c r="J627" s="11" t="s">
        <v>174</v>
      </c>
      <c r="K627" s="6" t="str">
        <f>""</f>
        <v/>
      </c>
      <c r="L627" s="6" t="s">
        <v>271</v>
      </c>
      <c r="M627" s="6" t="s">
        <v>268</v>
      </c>
    </row>
    <row r="628" spans="1:14" x14ac:dyDescent="0.25">
      <c r="A628" s="6" t="str">
        <f>"Julian"</f>
        <v>Julian</v>
      </c>
      <c r="B628" s="6" t="str">
        <f>"St-Laurent"</f>
        <v>St-Laurent</v>
      </c>
      <c r="C628" s="6" t="str">
        <f t="shared" si="110"/>
        <v>F</v>
      </c>
      <c r="D628" s="6" t="str">
        <f t="shared" si="111"/>
        <v>U21/Sénior (seulement)</v>
      </c>
      <c r="E628" s="2">
        <v>2001</v>
      </c>
      <c r="F628" s="6" t="str">
        <f>"Club de judo Fermont"</f>
        <v>Club de judo Fermont</v>
      </c>
      <c r="G628" s="6" t="str">
        <f t="shared" si="113"/>
        <v>-63kg</v>
      </c>
      <c r="H628" s="6" t="str">
        <f>"0214720"</f>
        <v>0214720</v>
      </c>
      <c r="I628" s="6" t="str">
        <f t="shared" si="112"/>
        <v>QC</v>
      </c>
      <c r="J628" s="6" t="s">
        <v>167</v>
      </c>
      <c r="K628" s="6" t="str">
        <f>""</f>
        <v/>
      </c>
      <c r="L628" s="6" t="str">
        <f>""</f>
        <v/>
      </c>
      <c r="M628" s="6" t="s">
        <v>268</v>
      </c>
    </row>
    <row r="629" spans="1:14" x14ac:dyDescent="0.25">
      <c r="A629" s="7" t="str">
        <f>"Sophia"</f>
        <v>Sophia</v>
      </c>
      <c r="B629" s="7" t="str">
        <f>"Camire-Wan"</f>
        <v>Camire-Wan</v>
      </c>
      <c r="C629" s="7" t="str">
        <f t="shared" si="110"/>
        <v>F</v>
      </c>
      <c r="D629" s="7" t="str">
        <f t="shared" si="111"/>
        <v>U21/Sénior (seulement)</v>
      </c>
      <c r="E629" s="2">
        <v>1992</v>
      </c>
      <c r="F629" s="7" t="str">
        <f>"Club de Judo d'Asbestos-Danville"</f>
        <v>Club de Judo d'Asbestos-Danville</v>
      </c>
      <c r="G629" s="7" t="str">
        <f>"-70kg"</f>
        <v>-70kg</v>
      </c>
      <c r="H629" s="7" t="str">
        <f>"0211816"</f>
        <v>0211816</v>
      </c>
      <c r="I629" s="7" t="str">
        <f t="shared" si="112"/>
        <v>QC</v>
      </c>
      <c r="J629" s="7" t="s">
        <v>163</v>
      </c>
      <c r="K629" s="7" t="str">
        <f>""</f>
        <v/>
      </c>
      <c r="L629" s="7" t="str">
        <f>""</f>
        <v/>
      </c>
      <c r="M629" s="7" t="s">
        <v>269</v>
      </c>
    </row>
    <row r="630" spans="1:14" x14ac:dyDescent="0.25">
      <c r="A630" s="7" t="str">
        <f>"Cynthia"</f>
        <v>Cynthia</v>
      </c>
      <c r="B630" s="7" t="str">
        <f>"Fournier"</f>
        <v>Fournier</v>
      </c>
      <c r="C630" s="7" t="str">
        <f t="shared" si="110"/>
        <v>F</v>
      </c>
      <c r="D630" s="7" t="str">
        <f t="shared" si="111"/>
        <v>U21/Sénior (seulement)</v>
      </c>
      <c r="E630" s="2">
        <v>1995</v>
      </c>
      <c r="F630" s="7" t="str">
        <f>"Club Judokan Port Cartier"</f>
        <v>Club Judokan Port Cartier</v>
      </c>
      <c r="G630" s="7" t="str">
        <f>"-70kg"</f>
        <v>-70kg</v>
      </c>
      <c r="H630" s="7" t="str">
        <f>"0094481"</f>
        <v>0094481</v>
      </c>
      <c r="I630" s="7" t="str">
        <f t="shared" si="112"/>
        <v>QC</v>
      </c>
      <c r="J630" s="7" t="s">
        <v>168</v>
      </c>
      <c r="K630" s="7" t="str">
        <f>""</f>
        <v/>
      </c>
      <c r="L630" s="7" t="str">
        <f>""</f>
        <v/>
      </c>
      <c r="M630" s="7" t="s">
        <v>269</v>
      </c>
    </row>
    <row r="631" spans="1:14" x14ac:dyDescent="0.25">
      <c r="A631" s="7" t="str">
        <f>"Marie-Ève"</f>
        <v>Marie-Ève</v>
      </c>
      <c r="B631" s="7" t="str">
        <f>"Ouimet"</f>
        <v>Ouimet</v>
      </c>
      <c r="C631" s="7" t="str">
        <f t="shared" si="110"/>
        <v>F</v>
      </c>
      <c r="D631" s="7" t="str">
        <f t="shared" si="111"/>
        <v>U21/Sénior (seulement)</v>
      </c>
      <c r="E631" s="2">
        <v>1992</v>
      </c>
      <c r="F631" s="7" t="str">
        <f>"Club de judo Shidokan inc."</f>
        <v>Club de judo Shidokan inc.</v>
      </c>
      <c r="G631" s="7" t="str">
        <f>"-70kg"</f>
        <v>-70kg</v>
      </c>
      <c r="H631" s="7" t="str">
        <f>"0087098"</f>
        <v>0087098</v>
      </c>
      <c r="I631" s="7" t="str">
        <f t="shared" si="112"/>
        <v>QC</v>
      </c>
      <c r="J631" s="7" t="s">
        <v>168</v>
      </c>
      <c r="K631" s="7" t="str">
        <f>""</f>
        <v/>
      </c>
      <c r="L631" s="7" t="str">
        <f>""</f>
        <v/>
      </c>
      <c r="M631" s="7" t="s">
        <v>269</v>
      </c>
    </row>
    <row r="632" spans="1:14" x14ac:dyDescent="0.25">
      <c r="A632" s="7" t="str">
        <f>"Janie"</f>
        <v>Janie</v>
      </c>
      <c r="B632" s="7" t="str">
        <f>"Roy"</f>
        <v>Roy</v>
      </c>
      <c r="C632" s="7" t="str">
        <f t="shared" si="110"/>
        <v>F</v>
      </c>
      <c r="D632" s="7" t="str">
        <f t="shared" si="111"/>
        <v>U21/Sénior (seulement)</v>
      </c>
      <c r="E632" s="2">
        <v>2001</v>
      </c>
      <c r="F632" s="7" t="str">
        <f>"Club de judo de la vieille capitale"</f>
        <v>Club de judo de la vieille capitale</v>
      </c>
      <c r="G632" s="7" t="str">
        <f>"-70kg"</f>
        <v>-70kg</v>
      </c>
      <c r="H632" s="7" t="str">
        <f>"0156768"</f>
        <v>0156768</v>
      </c>
      <c r="I632" s="7" t="str">
        <f t="shared" si="112"/>
        <v>QC</v>
      </c>
      <c r="J632" s="7" t="s">
        <v>167</v>
      </c>
      <c r="K632" s="7" t="str">
        <f>""</f>
        <v/>
      </c>
      <c r="L632" s="7" t="str">
        <f>""</f>
        <v/>
      </c>
      <c r="M632" s="7" t="s">
        <v>269</v>
      </c>
    </row>
    <row r="633" spans="1:14" x14ac:dyDescent="0.25">
      <c r="A633" s="7" t="s">
        <v>152</v>
      </c>
      <c r="B633" s="7" t="s">
        <v>153</v>
      </c>
      <c r="C633" s="7" t="str">
        <f t="shared" ref="C633:C655" si="114">"M"</f>
        <v>M</v>
      </c>
      <c r="D633" s="7" t="str">
        <f t="shared" si="111"/>
        <v>U21/Sénior (seulement)</v>
      </c>
      <c r="E633" s="2">
        <v>1999</v>
      </c>
      <c r="F633" s="7" t="s">
        <v>156</v>
      </c>
      <c r="G633" s="7" t="str">
        <f>"+100kg"</f>
        <v>+100kg</v>
      </c>
      <c r="H633" s="10"/>
      <c r="I633" s="7" t="s">
        <v>162</v>
      </c>
      <c r="J633" s="7" t="s">
        <v>167</v>
      </c>
      <c r="K633" s="7"/>
      <c r="L633" s="7" t="str">
        <f>""</f>
        <v/>
      </c>
      <c r="M633" s="7" t="s">
        <v>277</v>
      </c>
      <c r="N633" s="7"/>
    </row>
    <row r="634" spans="1:14" x14ac:dyDescent="0.25">
      <c r="A634" s="7" t="str">
        <f>"Maxime"</f>
        <v>Maxime</v>
      </c>
      <c r="B634" s="7" t="str">
        <f>"Ouimet"</f>
        <v>Ouimet</v>
      </c>
      <c r="C634" s="7" t="str">
        <f t="shared" si="114"/>
        <v>M</v>
      </c>
      <c r="D634" s="7" t="str">
        <f t="shared" si="111"/>
        <v>U21/Sénior (seulement)</v>
      </c>
      <c r="E634" s="2">
        <v>1990</v>
      </c>
      <c r="F634" s="7" t="str">
        <f>"Club de judo Shidokan inc."</f>
        <v>Club de judo Shidokan inc.</v>
      </c>
      <c r="G634" s="7" t="str">
        <f>"+100kg"</f>
        <v>+100kg</v>
      </c>
      <c r="H634" s="7" t="str">
        <f>"0087097"</f>
        <v>0087097</v>
      </c>
      <c r="I634" s="7" t="str">
        <f>"QC"</f>
        <v>QC</v>
      </c>
      <c r="J634" s="7" t="s">
        <v>167</v>
      </c>
      <c r="K634" s="7" t="str">
        <f>""</f>
        <v/>
      </c>
      <c r="L634" s="7" t="str">
        <f>""</f>
        <v/>
      </c>
      <c r="M634" s="7" t="s">
        <v>277</v>
      </c>
      <c r="N634" s="7"/>
    </row>
    <row r="635" spans="1:14" x14ac:dyDescent="0.25">
      <c r="A635" s="4" t="str">
        <f>"Mohamed Chaouki"</f>
        <v>Mohamed Chaouki</v>
      </c>
      <c r="B635" s="4" t="str">
        <f>"Ouahmed"</f>
        <v>Ouahmed</v>
      </c>
      <c r="C635" s="4" t="str">
        <f t="shared" si="114"/>
        <v>M</v>
      </c>
      <c r="D635" s="4" t="str">
        <f t="shared" si="111"/>
        <v>U21/Sénior (seulement)</v>
      </c>
      <c r="E635" s="2">
        <v>1987</v>
      </c>
      <c r="F635" s="4" t="str">
        <f>"Budokan Saint-Laurent"</f>
        <v>Budokan Saint-Laurent</v>
      </c>
      <c r="G635" s="4" t="str">
        <f>"+100kg"</f>
        <v>+100kg</v>
      </c>
      <c r="H635" s="4" t="str">
        <f>"0234853"</f>
        <v>0234853</v>
      </c>
      <c r="I635" s="4" t="str">
        <f>"QC"</f>
        <v>QC</v>
      </c>
      <c r="J635" s="4" t="s">
        <v>171</v>
      </c>
      <c r="K635" s="4" t="s">
        <v>151</v>
      </c>
      <c r="L635" s="4" t="s">
        <v>151</v>
      </c>
      <c r="M635" s="4" t="s">
        <v>276</v>
      </c>
    </row>
    <row r="636" spans="1:14" x14ac:dyDescent="0.25">
      <c r="A636" s="6" t="s">
        <v>154</v>
      </c>
      <c r="B636" s="6" t="s">
        <v>155</v>
      </c>
      <c r="C636" s="6" t="str">
        <f t="shared" si="114"/>
        <v>M</v>
      </c>
      <c r="D636" s="6" t="str">
        <f t="shared" si="111"/>
        <v>U21/Sénior (seulement)</v>
      </c>
      <c r="E636" s="2">
        <v>1999</v>
      </c>
      <c r="F636" s="6" t="s">
        <v>156</v>
      </c>
      <c r="G636" s="6" t="str">
        <f>"-100kg"</f>
        <v>-100kg</v>
      </c>
      <c r="H636" s="8"/>
      <c r="I636" s="6" t="s">
        <v>162</v>
      </c>
      <c r="J636" s="6" t="s">
        <v>167</v>
      </c>
      <c r="K636" s="6"/>
      <c r="L636" s="6" t="str">
        <f>""</f>
        <v/>
      </c>
      <c r="M636" s="6" t="s">
        <v>283</v>
      </c>
      <c r="N636" s="6"/>
    </row>
    <row r="637" spans="1:14" x14ac:dyDescent="0.25">
      <c r="A637" s="6" t="str">
        <f>"Mani"</f>
        <v>Mani</v>
      </c>
      <c r="B637" s="6" t="str">
        <f>"Roushanzamir"</f>
        <v>Roushanzamir</v>
      </c>
      <c r="C637" s="6" t="str">
        <f t="shared" si="114"/>
        <v>M</v>
      </c>
      <c r="D637" s="6" t="str">
        <f t="shared" si="111"/>
        <v>U21/Sénior (seulement)</v>
      </c>
      <c r="E637" s="2">
        <v>1995</v>
      </c>
      <c r="F637" s="6" t="str">
        <f>"Club de judo Shidokan inc."</f>
        <v>Club de judo Shidokan inc.</v>
      </c>
      <c r="G637" s="6" t="str">
        <f>"-100kg"</f>
        <v>-100kg</v>
      </c>
      <c r="H637" s="6" t="str">
        <f>"0179911"</f>
        <v>0179911</v>
      </c>
      <c r="I637" s="6" t="str">
        <f t="shared" ref="I637:I655" si="115">"QC"</f>
        <v>QC</v>
      </c>
      <c r="J637" s="6" t="s">
        <v>167</v>
      </c>
      <c r="K637" s="6" t="str">
        <f>""</f>
        <v/>
      </c>
      <c r="L637" s="6" t="str">
        <f>""</f>
        <v/>
      </c>
      <c r="M637" s="6" t="s">
        <v>283</v>
      </c>
      <c r="N637" s="6"/>
    </row>
    <row r="638" spans="1:14" x14ac:dyDescent="0.25">
      <c r="A638" s="4" t="str">
        <f>"Carlos"</f>
        <v>Carlos</v>
      </c>
      <c r="B638" s="4" t="str">
        <f>"Arredondo"</f>
        <v>Arredondo</v>
      </c>
      <c r="C638" s="4" t="str">
        <f t="shared" si="114"/>
        <v>M</v>
      </c>
      <c r="D638" s="4" t="str">
        <f t="shared" si="111"/>
        <v>U21/Sénior (seulement)</v>
      </c>
      <c r="E638" s="2">
        <v>1990</v>
      </c>
      <c r="F638" s="4" t="str">
        <f>"Arts martiaux Budokai inc."</f>
        <v>Arts martiaux Budokai inc.</v>
      </c>
      <c r="G638" s="4" t="str">
        <f>"-100kg"</f>
        <v>-100kg</v>
      </c>
      <c r="H638" s="4" t="str">
        <f>"0146653"</f>
        <v>0146653</v>
      </c>
      <c r="I638" s="4" t="str">
        <f t="shared" si="115"/>
        <v>QC</v>
      </c>
      <c r="J638" s="4" t="s">
        <v>165</v>
      </c>
      <c r="K638" s="4" t="s">
        <v>151</v>
      </c>
      <c r="L638" s="4" t="s">
        <v>151</v>
      </c>
      <c r="M638" s="4" t="s">
        <v>275</v>
      </c>
    </row>
    <row r="639" spans="1:14" x14ac:dyDescent="0.25">
      <c r="A639" s="7" t="str">
        <f>"Yousef-Islam"</f>
        <v>Yousef-Islam</v>
      </c>
      <c r="B639" s="7" t="str">
        <f>"Bendjama"</f>
        <v>Bendjama</v>
      </c>
      <c r="C639" s="7" t="str">
        <f t="shared" si="114"/>
        <v>M</v>
      </c>
      <c r="D639" s="7" t="str">
        <f t="shared" si="111"/>
        <v>U21/Sénior (seulement)</v>
      </c>
      <c r="E639" s="2">
        <v>1998</v>
      </c>
      <c r="F639" s="7" t="str">
        <f>"Club de judo Torii"</f>
        <v>Club de judo Torii</v>
      </c>
      <c r="G639" s="7" t="str">
        <f>"-60kg"</f>
        <v>-60kg</v>
      </c>
      <c r="H639" s="7" t="str">
        <f>"0101759"</f>
        <v>0101759</v>
      </c>
      <c r="I639" s="7" t="str">
        <f t="shared" si="115"/>
        <v>QC</v>
      </c>
      <c r="J639" s="7" t="s">
        <v>167</v>
      </c>
      <c r="K639" s="7" t="str">
        <f>""</f>
        <v/>
      </c>
      <c r="L639" s="7" t="str">
        <f>""</f>
        <v/>
      </c>
      <c r="M639" s="7" t="s">
        <v>278</v>
      </c>
      <c r="N639" s="7"/>
    </row>
    <row r="640" spans="1:14" x14ac:dyDescent="0.25">
      <c r="A640" s="7" t="str">
        <f>"Adam"</f>
        <v>Adam</v>
      </c>
      <c r="B640" s="7" t="str">
        <f>"Nuara"</f>
        <v>Nuara</v>
      </c>
      <c r="C640" s="7" t="str">
        <f t="shared" si="114"/>
        <v>M</v>
      </c>
      <c r="D640" s="7" t="str">
        <f t="shared" si="111"/>
        <v>U21/Sénior (seulement)</v>
      </c>
      <c r="E640" s="2">
        <v>2001</v>
      </c>
      <c r="F640" s="7" t="str">
        <f>"Club de judo Shidokan inc."</f>
        <v>Club de judo Shidokan inc.</v>
      </c>
      <c r="G640" s="7" t="str">
        <f>"-60kg"</f>
        <v>-60kg</v>
      </c>
      <c r="H640" s="7" t="str">
        <f>"0152845"</f>
        <v>0152845</v>
      </c>
      <c r="I640" s="7" t="str">
        <f t="shared" si="115"/>
        <v>QC</v>
      </c>
      <c r="J640" s="7" t="s">
        <v>168</v>
      </c>
      <c r="K640" s="7" t="str">
        <f>""</f>
        <v/>
      </c>
      <c r="L640" s="7" t="str">
        <f>""</f>
        <v/>
      </c>
      <c r="M640" s="7" t="s">
        <v>278</v>
      </c>
      <c r="N640" s="7"/>
    </row>
    <row r="641" spans="1:14" x14ac:dyDescent="0.25">
      <c r="A641" s="7" t="str">
        <f>"Justin"</f>
        <v>Justin</v>
      </c>
      <c r="B641" s="7" t="str">
        <f>"Tremblay"</f>
        <v>Tremblay</v>
      </c>
      <c r="C641" s="7" t="str">
        <f t="shared" si="114"/>
        <v>M</v>
      </c>
      <c r="D641" s="7" t="str">
        <f t="shared" si="111"/>
        <v>U21/Sénior (seulement)</v>
      </c>
      <c r="E641" s="2">
        <v>2001</v>
      </c>
      <c r="F641" s="7" t="str">
        <f>"Club de judo Seïkidokan inc."</f>
        <v>Club de judo Seïkidokan inc.</v>
      </c>
      <c r="G641" s="7" t="str">
        <f>"-60kg"</f>
        <v>-60kg</v>
      </c>
      <c r="H641" s="7" t="str">
        <f>"0167519"</f>
        <v>0167519</v>
      </c>
      <c r="I641" s="7" t="str">
        <f t="shared" si="115"/>
        <v>QC</v>
      </c>
      <c r="J641" s="7" t="s">
        <v>168</v>
      </c>
      <c r="K641" s="7" t="str">
        <f>""</f>
        <v/>
      </c>
      <c r="L641" s="7" t="str">
        <f>""</f>
        <v/>
      </c>
      <c r="M641" s="7" t="s">
        <v>278</v>
      </c>
      <c r="N641" s="7"/>
    </row>
    <row r="642" spans="1:14" x14ac:dyDescent="0.25">
      <c r="A642" s="6" t="str">
        <f>"Mark-Elie"</f>
        <v>Mark-Elie</v>
      </c>
      <c r="B642" s="6" t="str">
        <f>"Boucher"</f>
        <v>Boucher</v>
      </c>
      <c r="C642" s="6" t="str">
        <f t="shared" si="114"/>
        <v>M</v>
      </c>
      <c r="D642" s="6" t="str">
        <f t="shared" si="111"/>
        <v>U21/Sénior (seulement)</v>
      </c>
      <c r="E642" s="2">
        <v>1997</v>
      </c>
      <c r="F642" s="6" t="str">
        <f>"Judo Monde"</f>
        <v>Judo Monde</v>
      </c>
      <c r="G642" s="6" t="str">
        <f t="shared" ref="G642:G650" si="116">"-66kg"</f>
        <v>-66kg</v>
      </c>
      <c r="H642" s="6" t="str">
        <f>"0202386"</f>
        <v>0202386</v>
      </c>
      <c r="I642" s="6" t="str">
        <f t="shared" si="115"/>
        <v>QC</v>
      </c>
      <c r="J642" s="6" t="s">
        <v>167</v>
      </c>
      <c r="K642" s="6" t="str">
        <f>""</f>
        <v/>
      </c>
      <c r="L642" s="6" t="str">
        <f>""</f>
        <v/>
      </c>
      <c r="M642" s="6" t="s">
        <v>282</v>
      </c>
      <c r="N642" s="6"/>
    </row>
    <row r="643" spans="1:14" x14ac:dyDescent="0.25">
      <c r="A643" s="6" t="str">
        <f>"Innokenty-Kevin"</f>
        <v>Innokenty-Kevin</v>
      </c>
      <c r="B643" s="6" t="str">
        <f>"Perelmutov"</f>
        <v>Perelmutov</v>
      </c>
      <c r="C643" s="6" t="str">
        <f t="shared" si="114"/>
        <v>M</v>
      </c>
      <c r="D643" s="6" t="str">
        <f t="shared" si="111"/>
        <v>U21/Sénior (seulement)</v>
      </c>
      <c r="E643" s="2">
        <v>2000</v>
      </c>
      <c r="F643" s="6" t="str">
        <f>"Club de judo Shidokan inc."</f>
        <v>Club de judo Shidokan inc.</v>
      </c>
      <c r="G643" s="6" t="str">
        <f t="shared" si="116"/>
        <v>-66kg</v>
      </c>
      <c r="H643" s="6" t="str">
        <f>"0214629"</f>
        <v>0214629</v>
      </c>
      <c r="I643" s="6" t="str">
        <f t="shared" si="115"/>
        <v>QC</v>
      </c>
      <c r="J643" s="6" t="s">
        <v>168</v>
      </c>
      <c r="K643" s="6" t="str">
        <f>""</f>
        <v/>
      </c>
      <c r="L643" s="6" t="str">
        <f>""</f>
        <v/>
      </c>
      <c r="M643" s="6" t="s">
        <v>282</v>
      </c>
      <c r="N643" s="6"/>
    </row>
    <row r="644" spans="1:14" x14ac:dyDescent="0.25">
      <c r="A644" s="6" t="str">
        <f>"Nathan"</f>
        <v>Nathan</v>
      </c>
      <c r="B644" s="6" t="str">
        <f>"Sauriol"</f>
        <v>Sauriol</v>
      </c>
      <c r="C644" s="6" t="str">
        <f t="shared" si="114"/>
        <v>M</v>
      </c>
      <c r="D644" s="6" t="str">
        <f t="shared" si="111"/>
        <v>U21/Sénior (seulement)</v>
      </c>
      <c r="E644" s="2">
        <v>2001</v>
      </c>
      <c r="F644" s="6" t="str">
        <f>"Judo Blainville"</f>
        <v>Judo Blainville</v>
      </c>
      <c r="G644" s="6" t="str">
        <f t="shared" si="116"/>
        <v>-66kg</v>
      </c>
      <c r="H644" s="6" t="str">
        <f>"0173782"</f>
        <v>0173782</v>
      </c>
      <c r="I644" s="6" t="str">
        <f t="shared" si="115"/>
        <v>QC</v>
      </c>
      <c r="J644" s="6" t="s">
        <v>167</v>
      </c>
      <c r="K644" s="6" t="str">
        <f>""</f>
        <v/>
      </c>
      <c r="L644" s="6" t="str">
        <f>""</f>
        <v/>
      </c>
      <c r="M644" s="6" t="s">
        <v>282</v>
      </c>
      <c r="N644" s="6"/>
    </row>
    <row r="645" spans="1:14" x14ac:dyDescent="0.25">
      <c r="A645" s="6" t="str">
        <f>"Riwan"</f>
        <v>Riwan</v>
      </c>
      <c r="B645" s="6" t="str">
        <f>"Tournier"</f>
        <v>Tournier</v>
      </c>
      <c r="C645" s="6" t="str">
        <f t="shared" si="114"/>
        <v>M</v>
      </c>
      <c r="D645" s="6" t="str">
        <f t="shared" si="111"/>
        <v>U21/Sénior (seulement)</v>
      </c>
      <c r="E645" s="2">
        <v>1998</v>
      </c>
      <c r="F645" s="6" t="str">
        <f>"Club de judo de la vieille capitale"</f>
        <v>Club de judo de la vieille capitale</v>
      </c>
      <c r="G645" s="6" t="str">
        <f t="shared" si="116"/>
        <v>-66kg</v>
      </c>
      <c r="H645" s="6" t="str">
        <f>"0229670"</f>
        <v>0229670</v>
      </c>
      <c r="I645" s="6" t="str">
        <f t="shared" si="115"/>
        <v>QC</v>
      </c>
      <c r="J645" s="6" t="s">
        <v>168</v>
      </c>
      <c r="K645" s="6" t="str">
        <f>""</f>
        <v/>
      </c>
      <c r="L645" s="6" t="str">
        <f>""</f>
        <v/>
      </c>
      <c r="M645" s="6" t="s">
        <v>282</v>
      </c>
      <c r="N645" s="6"/>
    </row>
    <row r="646" spans="1:14" x14ac:dyDescent="0.25">
      <c r="A646" s="5" t="str">
        <f>"Hunter"</f>
        <v>Hunter</v>
      </c>
      <c r="B646" s="5" t="str">
        <f>"Anderson"</f>
        <v>Anderson</v>
      </c>
      <c r="C646" s="5" t="str">
        <f t="shared" si="114"/>
        <v>M</v>
      </c>
      <c r="D646" s="5" t="str">
        <f t="shared" si="111"/>
        <v>U21/Sénior (seulement)</v>
      </c>
      <c r="E646" s="2">
        <v>2000</v>
      </c>
      <c r="F646" s="5" t="str">
        <f>"Club de Judo du CMR Saint-Jean"</f>
        <v>Club de Judo du CMR Saint-Jean</v>
      </c>
      <c r="G646" s="5" t="str">
        <f t="shared" si="116"/>
        <v>-66kg</v>
      </c>
      <c r="H646" s="5" t="str">
        <f>"0409546"</f>
        <v>0409546</v>
      </c>
      <c r="I646" s="5" t="str">
        <f t="shared" si="115"/>
        <v>QC</v>
      </c>
      <c r="J646" s="5" t="s">
        <v>165</v>
      </c>
      <c r="K646" s="5" t="str">
        <f>""</f>
        <v/>
      </c>
      <c r="L646" s="5" t="str">
        <f>""</f>
        <v/>
      </c>
      <c r="M646" s="5" t="s">
        <v>274</v>
      </c>
    </row>
    <row r="647" spans="1:14" x14ac:dyDescent="0.25">
      <c r="A647" s="5" t="str">
        <f>"Vincent"</f>
        <v>Vincent</v>
      </c>
      <c r="B647" s="5" t="str">
        <f>"Girard"</f>
        <v>Girard</v>
      </c>
      <c r="C647" s="5" t="str">
        <f t="shared" si="114"/>
        <v>M</v>
      </c>
      <c r="D647" s="5" t="str">
        <f t="shared" si="111"/>
        <v>U21/Sénior (seulement)</v>
      </c>
      <c r="E647" s="2">
        <v>2001</v>
      </c>
      <c r="F647" s="5" t="str">
        <f>"Club de judo Métropolitain inc."</f>
        <v>Club de judo Métropolitain inc.</v>
      </c>
      <c r="G647" s="5" t="str">
        <f t="shared" si="116"/>
        <v>-66kg</v>
      </c>
      <c r="H647" s="5" t="str">
        <f>"0233425"</f>
        <v>0233425</v>
      </c>
      <c r="I647" s="5" t="str">
        <f t="shared" si="115"/>
        <v>QC</v>
      </c>
      <c r="J647" s="5" t="s">
        <v>174</v>
      </c>
      <c r="K647" s="5" t="str">
        <f>""</f>
        <v/>
      </c>
      <c r="L647" s="5" t="str">
        <f>""</f>
        <v/>
      </c>
      <c r="M647" s="5" t="s">
        <v>274</v>
      </c>
    </row>
    <row r="648" spans="1:14" x14ac:dyDescent="0.25">
      <c r="A648" s="5" t="str">
        <f>"Zachary"</f>
        <v>Zachary</v>
      </c>
      <c r="B648" s="5" t="str">
        <f>"Langlois"</f>
        <v>Langlois</v>
      </c>
      <c r="C648" s="5" t="str">
        <f t="shared" si="114"/>
        <v>M</v>
      </c>
      <c r="D648" s="5" t="str">
        <f t="shared" ref="D648:D676" si="117">"U21/Sénior (seulement)"</f>
        <v>U21/Sénior (seulement)</v>
      </c>
      <c r="E648" s="2">
        <v>2000</v>
      </c>
      <c r="F648" s="5" t="str">
        <f>"Club de Judo du CMR Saint-Jean"</f>
        <v>Club de Judo du CMR Saint-Jean</v>
      </c>
      <c r="G648" s="5" t="str">
        <f t="shared" si="116"/>
        <v>-66kg</v>
      </c>
      <c r="H648" s="5" t="str">
        <f>"0237522"</f>
        <v>0237522</v>
      </c>
      <c r="I648" s="5" t="str">
        <f t="shared" si="115"/>
        <v>QC</v>
      </c>
      <c r="J648" s="5" t="s">
        <v>171</v>
      </c>
      <c r="K648" s="5" t="str">
        <f>""</f>
        <v/>
      </c>
      <c r="L648" s="5" t="str">
        <f>""</f>
        <v/>
      </c>
      <c r="M648" s="5" t="s">
        <v>274</v>
      </c>
    </row>
    <row r="649" spans="1:14" x14ac:dyDescent="0.25">
      <c r="A649" s="5" t="str">
        <f>"Jeremy"</f>
        <v>Jeremy</v>
      </c>
      <c r="B649" s="5" t="str">
        <f>"Langlois"</f>
        <v>Langlois</v>
      </c>
      <c r="C649" s="5" t="str">
        <f t="shared" si="114"/>
        <v>M</v>
      </c>
      <c r="D649" s="5" t="str">
        <f t="shared" si="117"/>
        <v>U21/Sénior (seulement)</v>
      </c>
      <c r="E649" s="2">
        <v>2001</v>
      </c>
      <c r="F649" s="5" t="str">
        <f>"Club de Judo du CMR Saint-Jean"</f>
        <v>Club de Judo du CMR Saint-Jean</v>
      </c>
      <c r="G649" s="5" t="str">
        <f t="shared" si="116"/>
        <v>-66kg</v>
      </c>
      <c r="H649" s="5" t="str">
        <f>"0409440"</f>
        <v>0409440</v>
      </c>
      <c r="I649" s="5" t="str">
        <f t="shared" si="115"/>
        <v>QC</v>
      </c>
      <c r="J649" s="5" t="s">
        <v>165</v>
      </c>
      <c r="K649" s="5" t="str">
        <f>""</f>
        <v/>
      </c>
      <c r="L649" s="5" t="str">
        <f>""</f>
        <v/>
      </c>
      <c r="M649" s="5" t="s">
        <v>274</v>
      </c>
    </row>
    <row r="650" spans="1:14" x14ac:dyDescent="0.25">
      <c r="A650" s="5" t="str">
        <f>"John"</f>
        <v>John</v>
      </c>
      <c r="B650" s="5" t="str">
        <f>"Young"</f>
        <v>Young</v>
      </c>
      <c r="C650" s="5" t="str">
        <f t="shared" si="114"/>
        <v>M</v>
      </c>
      <c r="D650" s="5" t="str">
        <f t="shared" si="117"/>
        <v>U21/Sénior (seulement)</v>
      </c>
      <c r="E650" s="2">
        <v>1999</v>
      </c>
      <c r="F650" s="5" t="str">
        <f>"Club de Judo du CMR Saint-Jean"</f>
        <v>Club de Judo du CMR Saint-Jean</v>
      </c>
      <c r="G650" s="5" t="str">
        <f t="shared" si="116"/>
        <v>-66kg</v>
      </c>
      <c r="H650" s="5" t="str">
        <f>"0409442"</f>
        <v>0409442</v>
      </c>
      <c r="I650" s="5" t="str">
        <f t="shared" si="115"/>
        <v>QC</v>
      </c>
      <c r="J650" s="5" t="s">
        <v>165</v>
      </c>
      <c r="K650" s="5" t="str">
        <f>""</f>
        <v/>
      </c>
      <c r="L650" s="5" t="str">
        <f>""</f>
        <v/>
      </c>
      <c r="M650" s="5" t="s">
        <v>274</v>
      </c>
    </row>
    <row r="651" spans="1:14" x14ac:dyDescent="0.25">
      <c r="A651" s="7" t="str">
        <f>"Maxime"</f>
        <v>Maxime</v>
      </c>
      <c r="B651" s="7" t="str">
        <f>"Bergeron"</f>
        <v>Bergeron</v>
      </c>
      <c r="C651" s="7" t="str">
        <f t="shared" si="114"/>
        <v>M</v>
      </c>
      <c r="D651" s="7" t="str">
        <f t="shared" si="117"/>
        <v>U21/Sénior (seulement)</v>
      </c>
      <c r="E651" s="2">
        <v>1999</v>
      </c>
      <c r="F651" s="7" t="str">
        <f>"Club de judo Vallée du Richelieu"</f>
        <v>Club de judo Vallée du Richelieu</v>
      </c>
      <c r="G651" s="7" t="str">
        <f>"-73kg"</f>
        <v>-73kg</v>
      </c>
      <c r="H651" s="7" t="str">
        <f>"0146044"</f>
        <v>0146044</v>
      </c>
      <c r="I651" s="7" t="str">
        <f t="shared" si="115"/>
        <v>QC</v>
      </c>
      <c r="J651" s="7" t="s">
        <v>168</v>
      </c>
      <c r="K651" s="7" t="str">
        <f>""</f>
        <v/>
      </c>
      <c r="L651" s="7" t="str">
        <f>""</f>
        <v/>
      </c>
      <c r="M651" s="7" t="s">
        <v>279</v>
      </c>
      <c r="N651" s="7"/>
    </row>
    <row r="652" spans="1:14" x14ac:dyDescent="0.25">
      <c r="A652" s="7" t="str">
        <f>"William"</f>
        <v>William</v>
      </c>
      <c r="B652" s="7" t="str">
        <f>"Hardy-Abeloos"</f>
        <v>Hardy-Abeloos</v>
      </c>
      <c r="C652" s="7" t="str">
        <f t="shared" si="114"/>
        <v>M</v>
      </c>
      <c r="D652" s="7" t="str">
        <f t="shared" si="117"/>
        <v>U21/Sénior (seulement)</v>
      </c>
      <c r="E652" s="2">
        <v>1998</v>
      </c>
      <c r="F652" s="7" t="str">
        <f>"Kiseki Judo"</f>
        <v>Kiseki Judo</v>
      </c>
      <c r="G652" s="7" t="str">
        <f>"-73kg"</f>
        <v>-73kg</v>
      </c>
      <c r="H652" s="7" t="str">
        <f>"0227413"</f>
        <v>0227413</v>
      </c>
      <c r="I652" s="7" t="str">
        <f t="shared" si="115"/>
        <v>QC</v>
      </c>
      <c r="J652" s="7" t="s">
        <v>168</v>
      </c>
      <c r="K652" s="7" t="str">
        <f>""</f>
        <v/>
      </c>
      <c r="L652" s="7" t="str">
        <f>""</f>
        <v/>
      </c>
      <c r="M652" s="7" t="s">
        <v>279</v>
      </c>
      <c r="N652" s="7"/>
    </row>
    <row r="653" spans="1:14" x14ac:dyDescent="0.25">
      <c r="A653" s="7" t="str">
        <f>"Mehdi"</f>
        <v>Mehdi</v>
      </c>
      <c r="B653" s="7" t="str">
        <f>"Le Bourhis"</f>
        <v>Le Bourhis</v>
      </c>
      <c r="C653" s="7" t="str">
        <f t="shared" si="114"/>
        <v>M</v>
      </c>
      <c r="D653" s="7" t="str">
        <f t="shared" si="117"/>
        <v>U21/Sénior (seulement)</v>
      </c>
      <c r="E653" s="2">
        <v>1986</v>
      </c>
      <c r="F653" s="7" t="str">
        <f>"Judosphère"</f>
        <v>Judosphère</v>
      </c>
      <c r="G653" s="7" t="str">
        <f>"-73kg"</f>
        <v>-73kg</v>
      </c>
      <c r="H653" s="7" t="str">
        <f>"0220900"</f>
        <v>0220900</v>
      </c>
      <c r="I653" s="7" t="str">
        <f t="shared" si="115"/>
        <v>QC</v>
      </c>
      <c r="J653" s="7" t="s">
        <v>167</v>
      </c>
      <c r="K653" s="7" t="str">
        <f>""</f>
        <v/>
      </c>
      <c r="L653" s="7" t="str">
        <f>""</f>
        <v/>
      </c>
      <c r="M653" s="7" t="s">
        <v>279</v>
      </c>
      <c r="N653" s="7"/>
    </row>
    <row r="654" spans="1:14" x14ac:dyDescent="0.25">
      <c r="A654" s="7" t="str">
        <f>"Peterson"</f>
        <v>Peterson</v>
      </c>
      <c r="B654" s="7" t="str">
        <f>"Meneus"</f>
        <v>Meneus</v>
      </c>
      <c r="C654" s="7" t="str">
        <f t="shared" si="114"/>
        <v>M</v>
      </c>
      <c r="D654" s="7" t="str">
        <f t="shared" si="117"/>
        <v>U21/Sénior (seulement)</v>
      </c>
      <c r="E654" s="2">
        <v>1989</v>
      </c>
      <c r="F654" s="7" t="str">
        <f>"Kiseki Judo"</f>
        <v>Kiseki Judo</v>
      </c>
      <c r="G654" s="7" t="str">
        <f>"-73kg"</f>
        <v>-73kg</v>
      </c>
      <c r="H654" s="7" t="str">
        <f>"0410475"</f>
        <v>0410475</v>
      </c>
      <c r="I654" s="7" t="str">
        <f t="shared" si="115"/>
        <v>QC</v>
      </c>
      <c r="J654" s="7" t="s">
        <v>168</v>
      </c>
      <c r="K654" s="7" t="str">
        <f>""</f>
        <v/>
      </c>
      <c r="L654" s="7" t="str">
        <f>""</f>
        <v/>
      </c>
      <c r="M654" s="7" t="s">
        <v>279</v>
      </c>
      <c r="N654" s="7"/>
    </row>
    <row r="655" spans="1:14" x14ac:dyDescent="0.25">
      <c r="A655" s="7" t="str">
        <f>"Michael"</f>
        <v>Michael</v>
      </c>
      <c r="B655" s="7" t="str">
        <f>"Molaison"</f>
        <v>Molaison</v>
      </c>
      <c r="C655" s="7" t="str">
        <f t="shared" si="114"/>
        <v>M</v>
      </c>
      <c r="D655" s="7" t="str">
        <f t="shared" si="117"/>
        <v>U21/Sénior (seulement)</v>
      </c>
      <c r="E655" s="2">
        <v>1993</v>
      </c>
      <c r="F655" s="7" t="str">
        <f>"Kiseki Judo"</f>
        <v>Kiseki Judo</v>
      </c>
      <c r="G655" s="7" t="str">
        <f>"-73kg"</f>
        <v>-73kg</v>
      </c>
      <c r="H655" s="7" t="str">
        <f>"0201614"</f>
        <v>0201614</v>
      </c>
      <c r="I655" s="7" t="str">
        <f t="shared" si="115"/>
        <v>QC</v>
      </c>
      <c r="J655" s="7" t="s">
        <v>167</v>
      </c>
      <c r="K655" s="7" t="str">
        <f>""</f>
        <v/>
      </c>
      <c r="L655" s="7" t="str">
        <f>""</f>
        <v/>
      </c>
      <c r="M655" s="7" t="s">
        <v>279</v>
      </c>
      <c r="N655" s="7"/>
    </row>
    <row r="656" spans="1:14" x14ac:dyDescent="0.25">
      <c r="A656" s="7" t="s">
        <v>149</v>
      </c>
      <c r="B656" s="7" t="s">
        <v>120</v>
      </c>
      <c r="C656" s="7" t="s">
        <v>13</v>
      </c>
      <c r="D656" s="7" t="str">
        <f t="shared" si="117"/>
        <v>U21/Sénior (seulement)</v>
      </c>
      <c r="E656" s="2">
        <v>1997</v>
      </c>
      <c r="F656" s="7" t="s">
        <v>150</v>
      </c>
      <c r="G656" s="7" t="s">
        <v>61</v>
      </c>
      <c r="H656" s="7">
        <v>91001</v>
      </c>
      <c r="I656" s="7" t="s">
        <v>17</v>
      </c>
      <c r="J656" s="7" t="s">
        <v>168</v>
      </c>
      <c r="K656" s="7" t="s">
        <v>10</v>
      </c>
      <c r="L656" s="7" t="s">
        <v>10</v>
      </c>
      <c r="M656" s="7" t="s">
        <v>279</v>
      </c>
      <c r="N656" s="7"/>
    </row>
    <row r="657" spans="1:14" x14ac:dyDescent="0.25">
      <c r="A657" s="7" t="str">
        <f>"Julien"</f>
        <v>Julien</v>
      </c>
      <c r="B657" s="7" t="str">
        <f>"Pinel"</f>
        <v>Pinel</v>
      </c>
      <c r="C657" s="7" t="str">
        <f t="shared" ref="C657:C664" si="118">"M"</f>
        <v>M</v>
      </c>
      <c r="D657" s="7" t="str">
        <f t="shared" si="117"/>
        <v>U21/Sénior (seulement)</v>
      </c>
      <c r="E657" s="2">
        <v>1982</v>
      </c>
      <c r="F657" s="7" t="str">
        <f>"Kiseki Judo"</f>
        <v>Kiseki Judo</v>
      </c>
      <c r="G657" s="7" t="str">
        <f t="shared" ref="G657:G664" si="119">"-73kg"</f>
        <v>-73kg</v>
      </c>
      <c r="H657" s="7" t="str">
        <f>"0136935"</f>
        <v>0136935</v>
      </c>
      <c r="I657" s="7" t="str">
        <f t="shared" ref="I657:I664" si="120">"QC"</f>
        <v>QC</v>
      </c>
      <c r="J657" s="7" t="s">
        <v>167</v>
      </c>
      <c r="K657" s="7" t="str">
        <f>""</f>
        <v/>
      </c>
      <c r="L657" s="7" t="str">
        <f>""</f>
        <v/>
      </c>
      <c r="M657" s="7" t="s">
        <v>279</v>
      </c>
      <c r="N657" s="7"/>
    </row>
    <row r="658" spans="1:14" x14ac:dyDescent="0.25">
      <c r="A658" s="7" t="str">
        <f>"Mathieu"</f>
        <v>Mathieu</v>
      </c>
      <c r="B658" s="7" t="str">
        <f>"Sauve"</f>
        <v>Sauve</v>
      </c>
      <c r="C658" s="7" t="str">
        <f t="shared" si="118"/>
        <v>M</v>
      </c>
      <c r="D658" s="7" t="str">
        <f t="shared" si="117"/>
        <v>U21/Sénior (seulement)</v>
      </c>
      <c r="E658" s="2">
        <v>1990</v>
      </c>
      <c r="F658" s="7" t="str">
        <f>"Kiseki Judo"</f>
        <v>Kiseki Judo</v>
      </c>
      <c r="G658" s="7" t="str">
        <f t="shared" si="119"/>
        <v>-73kg</v>
      </c>
      <c r="H658" s="7" t="str">
        <f>"0202564"</f>
        <v>0202564</v>
      </c>
      <c r="I658" s="7" t="str">
        <f t="shared" si="120"/>
        <v>QC</v>
      </c>
      <c r="J658" s="7" t="s">
        <v>167</v>
      </c>
      <c r="K658" s="7" t="str">
        <f>""</f>
        <v/>
      </c>
      <c r="L658" s="7" t="str">
        <f>""</f>
        <v/>
      </c>
      <c r="M658" s="7" t="s">
        <v>279</v>
      </c>
      <c r="N658" s="7"/>
    </row>
    <row r="659" spans="1:14" x14ac:dyDescent="0.25">
      <c r="A659" s="7" t="str">
        <f>"Cedric"</f>
        <v>Cedric</v>
      </c>
      <c r="B659" s="7" t="str">
        <f>"Stawarz"</f>
        <v>Stawarz</v>
      </c>
      <c r="C659" s="7" t="str">
        <f t="shared" si="118"/>
        <v>M</v>
      </c>
      <c r="D659" s="7" t="str">
        <f t="shared" si="117"/>
        <v>U21/Sénior (seulement)</v>
      </c>
      <c r="E659" s="2">
        <v>1995</v>
      </c>
      <c r="F659" s="7" t="str">
        <f>"Club de judo Torii"</f>
        <v>Club de judo Torii</v>
      </c>
      <c r="G659" s="7" t="str">
        <f t="shared" si="119"/>
        <v>-73kg</v>
      </c>
      <c r="H659" s="7" t="str">
        <f>"0088516"</f>
        <v>0088516</v>
      </c>
      <c r="I659" s="7" t="str">
        <f t="shared" si="120"/>
        <v>QC</v>
      </c>
      <c r="J659" s="7" t="s">
        <v>173</v>
      </c>
      <c r="K659" s="7" t="str">
        <f>""</f>
        <v/>
      </c>
      <c r="L659" s="7" t="str">
        <f>""</f>
        <v/>
      </c>
      <c r="M659" s="7" t="s">
        <v>279</v>
      </c>
      <c r="N659" s="7"/>
    </row>
    <row r="660" spans="1:14" x14ac:dyDescent="0.25">
      <c r="A660" s="7" t="str">
        <f>"Jolan"</f>
        <v>Jolan</v>
      </c>
      <c r="B660" s="7" t="str">
        <f>"Stawarz"</f>
        <v>Stawarz</v>
      </c>
      <c r="C660" s="7" t="str">
        <f t="shared" si="118"/>
        <v>M</v>
      </c>
      <c r="D660" s="7" t="str">
        <f t="shared" si="117"/>
        <v>U21/Sénior (seulement)</v>
      </c>
      <c r="E660" s="2">
        <v>1996</v>
      </c>
      <c r="F660" s="7" t="str">
        <f>"Club de judo Torii"</f>
        <v>Club de judo Torii</v>
      </c>
      <c r="G660" s="7" t="str">
        <f t="shared" si="119"/>
        <v>-73kg</v>
      </c>
      <c r="H660" s="7" t="str">
        <f>"0095894"</f>
        <v>0095894</v>
      </c>
      <c r="I660" s="7" t="str">
        <f t="shared" si="120"/>
        <v>QC</v>
      </c>
      <c r="J660" s="7" t="s">
        <v>169</v>
      </c>
      <c r="K660" s="7" t="str">
        <f>""</f>
        <v/>
      </c>
      <c r="L660" s="7" t="str">
        <f>""</f>
        <v/>
      </c>
      <c r="M660" s="7" t="s">
        <v>279</v>
      </c>
      <c r="N660" s="7"/>
    </row>
    <row r="661" spans="1:14" x14ac:dyDescent="0.25">
      <c r="A661" s="7" t="str">
        <f>"Louka"</f>
        <v>Louka</v>
      </c>
      <c r="B661" s="7" t="str">
        <f>"Vallière"</f>
        <v>Vallière</v>
      </c>
      <c r="C661" s="7" t="str">
        <f t="shared" si="118"/>
        <v>M</v>
      </c>
      <c r="D661" s="7" t="str">
        <f t="shared" si="117"/>
        <v>U21/Sénior (seulement)</v>
      </c>
      <c r="E661" s="2">
        <v>2001</v>
      </c>
      <c r="F661" s="7" t="str">
        <f>"Club de Judo et de Ju-Jitsu Juvaldo inc."</f>
        <v>Club de Judo et de Ju-Jitsu Juvaldo inc.</v>
      </c>
      <c r="G661" s="7" t="str">
        <f t="shared" si="119"/>
        <v>-73kg</v>
      </c>
      <c r="H661" s="7" t="str">
        <f>"0175413"</f>
        <v>0175413</v>
      </c>
      <c r="I661" s="7" t="str">
        <f t="shared" si="120"/>
        <v>QC</v>
      </c>
      <c r="J661" s="7" t="s">
        <v>167</v>
      </c>
      <c r="K661" s="7" t="str">
        <f>""</f>
        <v/>
      </c>
      <c r="L661" s="7" t="str">
        <f>""</f>
        <v/>
      </c>
      <c r="M661" s="7" t="s">
        <v>279</v>
      </c>
      <c r="N661" s="7"/>
    </row>
    <row r="662" spans="1:14" x14ac:dyDescent="0.25">
      <c r="A662" s="1" t="str">
        <f>"Mohamed"</f>
        <v>Mohamed</v>
      </c>
      <c r="B662" s="1" t="str">
        <f>"Chibani Bahir Amar"</f>
        <v>Chibani Bahir Amar</v>
      </c>
      <c r="C662" s="1" t="str">
        <f t="shared" si="118"/>
        <v>M</v>
      </c>
      <c r="D662" s="1" t="str">
        <f t="shared" si="117"/>
        <v>U21/Sénior (seulement)</v>
      </c>
      <c r="E662" s="2">
        <v>1999</v>
      </c>
      <c r="F662" s="1" t="str">
        <f>"Club de judo Torii"</f>
        <v>Club de judo Torii</v>
      </c>
      <c r="G662" s="1" t="str">
        <f t="shared" si="119"/>
        <v>-73kg</v>
      </c>
      <c r="H662" s="1" t="str">
        <f>"0236156"</f>
        <v>0236156</v>
      </c>
      <c r="I662" s="1" t="str">
        <f t="shared" si="120"/>
        <v>QC</v>
      </c>
      <c r="J662" s="1" t="s">
        <v>172</v>
      </c>
      <c r="K662" s="1" t="str">
        <f>""</f>
        <v/>
      </c>
      <c r="L662" s="1" t="str">
        <f>""</f>
        <v/>
      </c>
      <c r="M662" s="1" t="s">
        <v>273</v>
      </c>
    </row>
    <row r="663" spans="1:14" x14ac:dyDescent="0.25">
      <c r="A663" s="1" t="str">
        <f>"Jacob"</f>
        <v>Jacob</v>
      </c>
      <c r="B663" s="1" t="str">
        <f>"Kompf"</f>
        <v>Kompf</v>
      </c>
      <c r="C663" s="1" t="str">
        <f t="shared" si="118"/>
        <v>M</v>
      </c>
      <c r="D663" s="1" t="str">
        <f t="shared" si="117"/>
        <v>U21/Sénior (seulement)</v>
      </c>
      <c r="E663" s="2">
        <v>1996</v>
      </c>
      <c r="F663" s="1" t="str">
        <f>"Club de Judo du CMR Saint-Jean"</f>
        <v>Club de Judo du CMR Saint-Jean</v>
      </c>
      <c r="G663" s="1" t="str">
        <f t="shared" si="119"/>
        <v>-73kg</v>
      </c>
      <c r="H663" s="1" t="str">
        <f>"0409439"</f>
        <v>0409439</v>
      </c>
      <c r="I663" s="1" t="str">
        <f t="shared" si="120"/>
        <v>QC</v>
      </c>
      <c r="J663" s="1" t="s">
        <v>165</v>
      </c>
      <c r="K663" s="1" t="str">
        <f>""</f>
        <v/>
      </c>
      <c r="L663" s="1" t="str">
        <f>""</f>
        <v/>
      </c>
      <c r="M663" s="1" t="s">
        <v>273</v>
      </c>
    </row>
    <row r="664" spans="1:14" x14ac:dyDescent="0.25">
      <c r="A664" s="1" t="str">
        <f>"Mathias"</f>
        <v>Mathias</v>
      </c>
      <c r="B664" s="1" t="str">
        <f>"Paradis"</f>
        <v>Paradis</v>
      </c>
      <c r="C664" s="1" t="str">
        <f t="shared" si="118"/>
        <v>M</v>
      </c>
      <c r="D664" s="1" t="str">
        <f t="shared" si="117"/>
        <v>U21/Sénior (seulement)</v>
      </c>
      <c r="E664" s="2">
        <v>2001</v>
      </c>
      <c r="F664" s="1" t="str">
        <f>"Club de Judo et de Ju-Jitsu Juvaldo inc."</f>
        <v>Club de Judo et de Ju-Jitsu Juvaldo inc.</v>
      </c>
      <c r="G664" s="1" t="str">
        <f t="shared" si="119"/>
        <v>-73kg</v>
      </c>
      <c r="H664" s="1" t="str">
        <f>"0230813"</f>
        <v>0230813</v>
      </c>
      <c r="I664" s="1" t="str">
        <f t="shared" si="120"/>
        <v>QC</v>
      </c>
      <c r="J664" s="1" t="s">
        <v>174</v>
      </c>
      <c r="K664" s="1" t="str">
        <f>""</f>
        <v/>
      </c>
      <c r="L664" s="1" t="str">
        <f>""</f>
        <v/>
      </c>
      <c r="M664" s="1" t="s">
        <v>273</v>
      </c>
    </row>
    <row r="665" spans="1:14" x14ac:dyDescent="0.25">
      <c r="A665" s="1" t="s">
        <v>148</v>
      </c>
      <c r="B665" s="1" t="s">
        <v>147</v>
      </c>
      <c r="C665" s="1" t="s">
        <v>13</v>
      </c>
      <c r="D665" s="1" t="str">
        <f t="shared" si="117"/>
        <v>U21/Sénior (seulement)</v>
      </c>
      <c r="E665" s="2">
        <v>1992</v>
      </c>
      <c r="F665" s="1" t="s">
        <v>150</v>
      </c>
      <c r="G665" s="1" t="s">
        <v>61</v>
      </c>
      <c r="H665" s="1">
        <v>232065</v>
      </c>
      <c r="I665" s="1" t="s">
        <v>17</v>
      </c>
      <c r="J665" s="1" t="s">
        <v>171</v>
      </c>
      <c r="K665" s="1" t="s">
        <v>10</v>
      </c>
      <c r="L665" s="1" t="s">
        <v>10</v>
      </c>
      <c r="M665" s="1" t="s">
        <v>273</v>
      </c>
    </row>
    <row r="666" spans="1:14" x14ac:dyDescent="0.25">
      <c r="A666" s="6" t="str">
        <f>"Tristan"</f>
        <v>Tristan</v>
      </c>
      <c r="B666" s="6" t="str">
        <f>"Gervais-Keuninckx"</f>
        <v>Gervais-Keuninckx</v>
      </c>
      <c r="C666" s="6" t="str">
        <f t="shared" ref="C666:C693" si="121">"M"</f>
        <v>M</v>
      </c>
      <c r="D666" s="6" t="str">
        <f t="shared" si="117"/>
        <v>U21/Sénior (seulement)</v>
      </c>
      <c r="E666" s="2">
        <v>1999</v>
      </c>
      <c r="F666" s="6" t="str">
        <f>"Club de judo Torii"</f>
        <v>Club de judo Torii</v>
      </c>
      <c r="G666" s="6" t="str">
        <f>"-81kg"</f>
        <v>-81kg</v>
      </c>
      <c r="H666" s="6" t="str">
        <f>"0144793"</f>
        <v>0144793</v>
      </c>
      <c r="I666" s="6" t="str">
        <f t="shared" ref="I666:I674" si="122">"QC"</f>
        <v>QC</v>
      </c>
      <c r="J666" s="6" t="s">
        <v>168</v>
      </c>
      <c r="K666" s="6" t="str">
        <f>""</f>
        <v/>
      </c>
      <c r="L666" s="6" t="str">
        <f>""</f>
        <v/>
      </c>
      <c r="M666" s="6" t="s">
        <v>281</v>
      </c>
      <c r="N666" s="6"/>
    </row>
    <row r="667" spans="1:14" x14ac:dyDescent="0.25">
      <c r="A667" s="6" t="str">
        <f>"Samuel"</f>
        <v>Samuel</v>
      </c>
      <c r="B667" s="6" t="str">
        <f>"Hétu"</f>
        <v>Hétu</v>
      </c>
      <c r="C667" s="6" t="str">
        <f t="shared" si="121"/>
        <v>M</v>
      </c>
      <c r="D667" s="6" t="str">
        <f t="shared" si="117"/>
        <v>U21/Sénior (seulement)</v>
      </c>
      <c r="E667" s="2">
        <v>1998</v>
      </c>
      <c r="F667" s="6" t="str">
        <f>"Judo Univestrie/donini"</f>
        <v>Judo Univestrie/donini</v>
      </c>
      <c r="G667" s="6" t="str">
        <f>"-81kg"</f>
        <v>-81kg</v>
      </c>
      <c r="H667" s="6" t="str">
        <f>"0104749"</f>
        <v>0104749</v>
      </c>
      <c r="I667" s="6" t="str">
        <f t="shared" si="122"/>
        <v>QC</v>
      </c>
      <c r="J667" s="6" t="s">
        <v>167</v>
      </c>
      <c r="K667" s="6" t="str">
        <f>""</f>
        <v/>
      </c>
      <c r="L667" s="6" t="str">
        <f>""</f>
        <v/>
      </c>
      <c r="M667" s="6" t="s">
        <v>281</v>
      </c>
      <c r="N667" s="6"/>
    </row>
    <row r="668" spans="1:14" x14ac:dyDescent="0.25">
      <c r="A668" s="6" t="str">
        <f>"Amine"</f>
        <v>Amine</v>
      </c>
      <c r="B668" s="6" t="str">
        <f>"Nasrallan"</f>
        <v>Nasrallan</v>
      </c>
      <c r="C668" s="6" t="str">
        <f t="shared" si="121"/>
        <v>M</v>
      </c>
      <c r="D668" s="6" t="str">
        <f t="shared" si="117"/>
        <v>U21/Sénior (seulement)</v>
      </c>
      <c r="E668" s="2">
        <v>1989</v>
      </c>
      <c r="F668" s="6" t="str">
        <f>"Club de judo Olympique"</f>
        <v>Club de judo Olympique</v>
      </c>
      <c r="G668" s="6" t="str">
        <f>"-81kg"</f>
        <v>-81kg</v>
      </c>
      <c r="H668" s="6" t="str">
        <f>"0410452"</f>
        <v>0410452</v>
      </c>
      <c r="I668" s="6" t="str">
        <f t="shared" si="122"/>
        <v>QC</v>
      </c>
      <c r="J668" s="6" t="s">
        <v>168</v>
      </c>
      <c r="K668" s="6" t="str">
        <f>""</f>
        <v/>
      </c>
      <c r="L668" s="6" t="str">
        <f>""</f>
        <v/>
      </c>
      <c r="M668" s="6" t="s">
        <v>281</v>
      </c>
      <c r="N668" s="6"/>
    </row>
    <row r="669" spans="1:14" x14ac:dyDescent="0.25">
      <c r="A669" s="6" t="str">
        <f>"Alexandre"</f>
        <v>Alexandre</v>
      </c>
      <c r="B669" s="6" t="str">
        <f>"Proulx"</f>
        <v>Proulx</v>
      </c>
      <c r="C669" s="6" t="str">
        <f t="shared" si="121"/>
        <v>M</v>
      </c>
      <c r="D669" s="6" t="str">
        <f t="shared" si="117"/>
        <v>U21/Sénior (seulement)</v>
      </c>
      <c r="E669" s="2">
        <v>1987</v>
      </c>
      <c r="F669" s="6" t="str">
        <f>"Club de judo Saint-Hyacinthe Inc."</f>
        <v>Club de judo Saint-Hyacinthe Inc.</v>
      </c>
      <c r="G669" s="6" t="str">
        <f>"-81kg"</f>
        <v>-81kg</v>
      </c>
      <c r="H669" s="6" t="str">
        <f>"0076573"</f>
        <v>0076573</v>
      </c>
      <c r="I669" s="6" t="str">
        <f t="shared" si="122"/>
        <v>QC</v>
      </c>
      <c r="J669" s="6" t="s">
        <v>168</v>
      </c>
      <c r="K669" s="6" t="str">
        <f>""</f>
        <v/>
      </c>
      <c r="L669" s="6" t="str">
        <f>""</f>
        <v/>
      </c>
      <c r="M669" s="6" t="s">
        <v>281</v>
      </c>
      <c r="N669" s="6"/>
    </row>
    <row r="670" spans="1:14" x14ac:dyDescent="0.25">
      <c r="A670" s="6" t="str">
        <f>"Mael"</f>
        <v>Mael</v>
      </c>
      <c r="B670" s="6" t="str">
        <f>"Stawarz"</f>
        <v>Stawarz</v>
      </c>
      <c r="C670" s="6" t="str">
        <f t="shared" si="121"/>
        <v>M</v>
      </c>
      <c r="D670" s="6" t="str">
        <f t="shared" si="117"/>
        <v>U21/Sénior (seulement)</v>
      </c>
      <c r="E670" s="2">
        <v>1997</v>
      </c>
      <c r="F670" s="6" t="str">
        <f>"Club de judo Torii"</f>
        <v>Club de judo Torii</v>
      </c>
      <c r="G670" s="6" t="str">
        <f>"-81kg"</f>
        <v>-81kg</v>
      </c>
      <c r="H670" s="6" t="str">
        <f>"0095852"</f>
        <v>0095852</v>
      </c>
      <c r="I670" s="6" t="str">
        <f t="shared" si="122"/>
        <v>QC</v>
      </c>
      <c r="J670" s="6" t="s">
        <v>168</v>
      </c>
      <c r="K670" s="6" t="str">
        <f>""</f>
        <v/>
      </c>
      <c r="L670" s="6" t="str">
        <f>""</f>
        <v/>
      </c>
      <c r="M670" s="6" t="s">
        <v>281</v>
      </c>
      <c r="N670" s="6"/>
    </row>
    <row r="671" spans="1:14" x14ac:dyDescent="0.25">
      <c r="A671" s="7" t="str">
        <f>"Jérôme"</f>
        <v>Jérôme</v>
      </c>
      <c r="B671" s="7" t="str">
        <f>"Champagne"</f>
        <v>Champagne</v>
      </c>
      <c r="C671" s="7" t="str">
        <f t="shared" si="121"/>
        <v>M</v>
      </c>
      <c r="D671" s="7" t="str">
        <f t="shared" si="117"/>
        <v>U21/Sénior (seulement)</v>
      </c>
      <c r="E671" s="2">
        <v>2001</v>
      </c>
      <c r="F671" s="7" t="str">
        <f>"Club de judo de Varennes"</f>
        <v>Club de judo de Varennes</v>
      </c>
      <c r="G671" s="7" t="str">
        <f t="shared" ref="G671:G676" si="123">"-90kg"</f>
        <v>-90kg</v>
      </c>
      <c r="H671" s="7" t="str">
        <f>"0173008"</f>
        <v>0173008</v>
      </c>
      <c r="I671" s="7" t="str">
        <f t="shared" si="122"/>
        <v>QC</v>
      </c>
      <c r="J671" s="7" t="s">
        <v>167</v>
      </c>
      <c r="K671" s="7" t="str">
        <f>""</f>
        <v/>
      </c>
      <c r="L671" s="7" t="str">
        <f>""</f>
        <v/>
      </c>
      <c r="M671" s="7" t="s">
        <v>280</v>
      </c>
      <c r="N671" s="7"/>
    </row>
    <row r="672" spans="1:14" x14ac:dyDescent="0.25">
      <c r="A672" s="7" t="str">
        <f>"Charles"</f>
        <v>Charles</v>
      </c>
      <c r="B672" s="7" t="str">
        <f>"Joncas Roy"</f>
        <v>Joncas Roy</v>
      </c>
      <c r="C672" s="7" t="str">
        <f t="shared" si="121"/>
        <v>M</v>
      </c>
      <c r="D672" s="7" t="str">
        <f t="shared" si="117"/>
        <v>U21/Sénior (seulement)</v>
      </c>
      <c r="E672" s="2">
        <v>2001</v>
      </c>
      <c r="F672" s="7" t="str">
        <f>"Club de Judo du CMR Saint-Jean"</f>
        <v>Club de Judo du CMR Saint-Jean</v>
      </c>
      <c r="G672" s="7" t="str">
        <f t="shared" si="123"/>
        <v>-90kg</v>
      </c>
      <c r="H672" s="7" t="str">
        <f>"0166225"</f>
        <v>0166225</v>
      </c>
      <c r="I672" s="7" t="str">
        <f t="shared" si="122"/>
        <v>QC</v>
      </c>
      <c r="J672" s="7" t="s">
        <v>167</v>
      </c>
      <c r="K672" s="7" t="str">
        <f>""</f>
        <v/>
      </c>
      <c r="L672" s="7" t="str">
        <f>""</f>
        <v/>
      </c>
      <c r="M672" s="7" t="s">
        <v>280</v>
      </c>
      <c r="N672" s="7"/>
    </row>
    <row r="673" spans="1:14" x14ac:dyDescent="0.25">
      <c r="A673" s="7" t="str">
        <f>"Nicolas"</f>
        <v>Nicolas</v>
      </c>
      <c r="B673" s="7" t="str">
        <f>"Levesque Lessard"</f>
        <v>Levesque Lessard</v>
      </c>
      <c r="C673" s="7" t="str">
        <f t="shared" si="121"/>
        <v>M</v>
      </c>
      <c r="D673" s="7" t="str">
        <f t="shared" si="117"/>
        <v>U21/Sénior (seulement)</v>
      </c>
      <c r="E673" s="2">
        <v>2001</v>
      </c>
      <c r="F673" s="7" t="str">
        <f>"Club Judokan Port Cartier"</f>
        <v>Club Judokan Port Cartier</v>
      </c>
      <c r="G673" s="7" t="str">
        <f t="shared" si="123"/>
        <v>-90kg</v>
      </c>
      <c r="H673" s="7" t="str">
        <f>"0208174"</f>
        <v>0208174</v>
      </c>
      <c r="I673" s="7" t="str">
        <f t="shared" si="122"/>
        <v>QC</v>
      </c>
      <c r="J673" s="7" t="s">
        <v>167</v>
      </c>
      <c r="K673" s="7" t="str">
        <f>""</f>
        <v/>
      </c>
      <c r="L673" s="7" t="str">
        <f>""</f>
        <v/>
      </c>
      <c r="M673" s="7" t="s">
        <v>280</v>
      </c>
      <c r="N673" s="7"/>
    </row>
    <row r="674" spans="1:14" x14ac:dyDescent="0.25">
      <c r="A674" s="7" t="str">
        <f>"Skomarovskyy"</f>
        <v>Skomarovskyy</v>
      </c>
      <c r="B674" s="7" t="str">
        <f>"Nazar"</f>
        <v>Nazar</v>
      </c>
      <c r="C674" s="7" t="str">
        <f t="shared" si="121"/>
        <v>M</v>
      </c>
      <c r="D674" s="7" t="str">
        <f t="shared" si="117"/>
        <v>U21/Sénior (seulement)</v>
      </c>
      <c r="E674" s="2">
        <v>1998</v>
      </c>
      <c r="F674" s="7" t="str">
        <f>"Sport Centre Ippon"</f>
        <v>Sport Centre Ippon</v>
      </c>
      <c r="G674" s="7" t="str">
        <f t="shared" si="123"/>
        <v>-90kg</v>
      </c>
      <c r="H674" s="7" t="str">
        <f>"0411945"</f>
        <v>0411945</v>
      </c>
      <c r="I674" s="7" t="str">
        <f t="shared" si="122"/>
        <v>QC</v>
      </c>
      <c r="J674" s="7" t="s">
        <v>163</v>
      </c>
      <c r="K674" s="7" t="str">
        <f>""</f>
        <v/>
      </c>
      <c r="L674" s="7" t="str">
        <f>""</f>
        <v/>
      </c>
      <c r="M674" s="7" t="s">
        <v>280</v>
      </c>
      <c r="N674" s="7"/>
    </row>
    <row r="675" spans="1:14" x14ac:dyDescent="0.25">
      <c r="A675" s="7" t="str">
        <f>"Danil"</f>
        <v>Danil</v>
      </c>
      <c r="B675" s="7" t="str">
        <f>"Neyolov"</f>
        <v>Neyolov</v>
      </c>
      <c r="C675" s="7" t="str">
        <f t="shared" si="121"/>
        <v>M</v>
      </c>
      <c r="D675" s="7" t="str">
        <f t="shared" si="117"/>
        <v>U21/Sénior (seulement)</v>
      </c>
      <c r="E675" s="2">
        <v>1997</v>
      </c>
      <c r="F675" s="7" t="str">
        <f>"Taifu Judo Club"</f>
        <v>Taifu Judo Club</v>
      </c>
      <c r="G675" s="7" t="str">
        <f t="shared" si="123"/>
        <v>-90kg</v>
      </c>
      <c r="H675" s="7" t="str">
        <f>"0149675"</f>
        <v>0149675</v>
      </c>
      <c r="I675" s="7" t="str">
        <f>"ON"</f>
        <v>ON</v>
      </c>
      <c r="J675" s="7" t="s">
        <v>169</v>
      </c>
      <c r="K675" s="7" t="str">
        <f>""</f>
        <v/>
      </c>
      <c r="L675" s="7" t="str">
        <f>""</f>
        <v/>
      </c>
      <c r="M675" s="7" t="s">
        <v>280</v>
      </c>
      <c r="N675" s="7"/>
    </row>
    <row r="676" spans="1:14" x14ac:dyDescent="0.25">
      <c r="A676" s="4" t="str">
        <f>"Emin"</f>
        <v>Emin</v>
      </c>
      <c r="B676" s="4" t="str">
        <f>"Aslan"</f>
        <v>Aslan</v>
      </c>
      <c r="C676" s="4" t="str">
        <f t="shared" si="121"/>
        <v>M</v>
      </c>
      <c r="D676" s="4" t="str">
        <f t="shared" si="117"/>
        <v>U21/Sénior (seulement)</v>
      </c>
      <c r="E676" s="2">
        <v>1986</v>
      </c>
      <c r="F676" s="4" t="str">
        <f>"Club de judo Shidokan inc."</f>
        <v>Club de judo Shidokan inc.</v>
      </c>
      <c r="G676" s="4" t="str">
        <f t="shared" si="123"/>
        <v>-90kg</v>
      </c>
      <c r="H676" s="4" t="str">
        <f>"AutreFederation"</f>
        <v>AutreFederation</v>
      </c>
      <c r="I676" s="4" t="str">
        <f>"QC"</f>
        <v>QC</v>
      </c>
      <c r="J676" s="4" t="s">
        <v>171</v>
      </c>
      <c r="K676" s="4" t="s">
        <v>151</v>
      </c>
      <c r="L676" s="4" t="s">
        <v>151</v>
      </c>
      <c r="M676" s="4" t="s">
        <v>272</v>
      </c>
    </row>
    <row r="677" spans="1:14" x14ac:dyDescent="0.25">
      <c r="A677" s="5" t="str">
        <f>"Nourine"</f>
        <v>Nourine</v>
      </c>
      <c r="B677" s="5" t="str">
        <f>"Benyoucef"</f>
        <v>Benyoucef</v>
      </c>
      <c r="C677" s="5" t="str">
        <f t="shared" si="121"/>
        <v>M</v>
      </c>
      <c r="D677" s="5" t="str">
        <f t="shared" ref="D677:D696" si="124">"Vétéran"</f>
        <v>Vétéran</v>
      </c>
      <c r="E677" s="2">
        <v>1977</v>
      </c>
      <c r="F677" s="5" t="str">
        <f>"Club de judo St-Paul l'Ermite"</f>
        <v>Club de judo St-Paul l'Ermite</v>
      </c>
      <c r="G677" s="5" t="str">
        <f>"-73kg"</f>
        <v>-73kg</v>
      </c>
      <c r="H677" s="5" t="str">
        <f>"0156947"</f>
        <v>0156947</v>
      </c>
      <c r="I677" s="5" t="str">
        <f>"QC"</f>
        <v>QC</v>
      </c>
      <c r="J677" s="5" t="s">
        <v>168</v>
      </c>
      <c r="K677" s="5" t="str">
        <f>""</f>
        <v/>
      </c>
      <c r="L677" s="5" t="s">
        <v>287</v>
      </c>
      <c r="M677" s="5" t="s">
        <v>291</v>
      </c>
      <c r="N677" s="5"/>
    </row>
    <row r="678" spans="1:14" x14ac:dyDescent="0.25">
      <c r="A678" s="5" t="str">
        <f>"Jacob"</f>
        <v>Jacob</v>
      </c>
      <c r="B678" s="5" t="str">
        <f>"Carty"</f>
        <v>Carty</v>
      </c>
      <c r="C678" s="5" t="str">
        <f t="shared" si="121"/>
        <v>M</v>
      </c>
      <c r="D678" s="5" t="str">
        <f t="shared" si="124"/>
        <v>Vétéran</v>
      </c>
      <c r="E678" s="2">
        <v>1982</v>
      </c>
      <c r="F678" s="5" t="str">
        <f>"Ottawa Judo Club"</f>
        <v>Ottawa Judo Club</v>
      </c>
      <c r="G678" s="5" t="str">
        <f>"-73kg"</f>
        <v>-73kg</v>
      </c>
      <c r="H678" s="5" t="str">
        <f>"0215362"</f>
        <v>0215362</v>
      </c>
      <c r="I678" s="5" t="str">
        <f>"ON"</f>
        <v>ON</v>
      </c>
      <c r="J678" s="5" t="s">
        <v>163</v>
      </c>
      <c r="K678" s="5" t="str">
        <f>""</f>
        <v/>
      </c>
      <c r="L678" s="5" t="s">
        <v>288</v>
      </c>
      <c r="M678" s="5" t="s">
        <v>291</v>
      </c>
      <c r="N678" s="5"/>
    </row>
    <row r="679" spans="1:14" x14ac:dyDescent="0.25">
      <c r="A679" s="5" t="str">
        <f>"Julien"</f>
        <v>Julien</v>
      </c>
      <c r="B679" s="5" t="str">
        <f>"Fontaine-Bégin"</f>
        <v>Fontaine-Bégin</v>
      </c>
      <c r="C679" s="5" t="str">
        <f t="shared" si="121"/>
        <v>M</v>
      </c>
      <c r="D679" s="5" t="str">
        <f t="shared" si="124"/>
        <v>Vétéran</v>
      </c>
      <c r="E679" s="2">
        <v>1986</v>
      </c>
      <c r="F679" s="5" t="str">
        <f>"Club de judo Torakai"</f>
        <v>Club de judo Torakai</v>
      </c>
      <c r="G679" s="5" t="str">
        <f>"-66kg"</f>
        <v>-66kg</v>
      </c>
      <c r="H679" s="5" t="str">
        <f>"0096883"</f>
        <v>0096883</v>
      </c>
      <c r="I679" s="5" t="str">
        <f t="shared" ref="I679:I693" si="125">"QC"</f>
        <v>QC</v>
      </c>
      <c r="J679" s="5" t="s">
        <v>169</v>
      </c>
      <c r="K679" s="5" t="str">
        <f>""</f>
        <v/>
      </c>
      <c r="L679" s="5" t="s">
        <v>289</v>
      </c>
      <c r="M679" s="5" t="s">
        <v>291</v>
      </c>
      <c r="N679" s="5"/>
    </row>
    <row r="680" spans="1:14" x14ac:dyDescent="0.25">
      <c r="A680" s="5" t="str">
        <f>"Benjamin"</f>
        <v>Benjamin</v>
      </c>
      <c r="B680" s="5" t="str">
        <f>"Perron"</f>
        <v>Perron</v>
      </c>
      <c r="C680" s="5" t="str">
        <f t="shared" si="121"/>
        <v>M</v>
      </c>
      <c r="D680" s="5" t="str">
        <f t="shared" si="124"/>
        <v>Vétéran</v>
      </c>
      <c r="E680" s="2">
        <v>1987</v>
      </c>
      <c r="F680" s="5" t="str">
        <f>"Club de judo de la vieille capitale"</f>
        <v>Club de judo de la vieille capitale</v>
      </c>
      <c r="G680" s="5" t="str">
        <f>"-73kg"</f>
        <v>-73kg</v>
      </c>
      <c r="H680" s="5" t="str">
        <f>"0075403"</f>
        <v>0075403</v>
      </c>
      <c r="I680" s="5" t="str">
        <f t="shared" si="125"/>
        <v>QC</v>
      </c>
      <c r="J680" s="5" t="s">
        <v>167</v>
      </c>
      <c r="K680" s="5" t="str">
        <f>""</f>
        <v/>
      </c>
      <c r="L680" s="5" t="s">
        <v>289</v>
      </c>
      <c r="M680" s="5" t="s">
        <v>291</v>
      </c>
      <c r="N680" s="5"/>
    </row>
    <row r="681" spans="1:14" x14ac:dyDescent="0.25">
      <c r="A681" s="7" t="str">
        <f>"Elie"</f>
        <v>Elie</v>
      </c>
      <c r="B681" s="7" t="str">
        <f>"Deilhes"</f>
        <v>Deilhes</v>
      </c>
      <c r="C681" s="7" t="str">
        <f t="shared" si="121"/>
        <v>M</v>
      </c>
      <c r="D681" s="7" t="str">
        <f t="shared" si="124"/>
        <v>Vétéran</v>
      </c>
      <c r="E681" s="2">
        <v>1979</v>
      </c>
      <c r="F681" s="7" t="str">
        <f>"Club de judo de l'Université Laval"</f>
        <v>Club de judo de l'Université Laval</v>
      </c>
      <c r="G681" s="7" t="str">
        <f>"-81kg"</f>
        <v>-81kg</v>
      </c>
      <c r="H681" s="7" t="str">
        <f>"0013506"</f>
        <v>0013506</v>
      </c>
      <c r="I681" s="7" t="str">
        <f t="shared" si="125"/>
        <v>QC</v>
      </c>
      <c r="J681" s="7" t="s">
        <v>169</v>
      </c>
      <c r="K681" s="7" t="str">
        <f>""</f>
        <v/>
      </c>
      <c r="L681" s="7" t="s">
        <v>287</v>
      </c>
      <c r="M681" s="7" t="s">
        <v>295</v>
      </c>
      <c r="N681" s="7"/>
    </row>
    <row r="682" spans="1:14" x14ac:dyDescent="0.25">
      <c r="A682" s="7" t="str">
        <f>"Nicolas"</f>
        <v>Nicolas</v>
      </c>
      <c r="B682" s="7" t="str">
        <f>"Gallant"</f>
        <v>Gallant</v>
      </c>
      <c r="C682" s="7" t="str">
        <f t="shared" si="121"/>
        <v>M</v>
      </c>
      <c r="D682" s="7" t="str">
        <f t="shared" si="124"/>
        <v>Vétéran</v>
      </c>
      <c r="E682" s="2">
        <v>1976</v>
      </c>
      <c r="F682" s="7" t="str">
        <f>"Club de judo Vallée du Richelieu"</f>
        <v>Club de judo Vallée du Richelieu</v>
      </c>
      <c r="G682" s="7" t="str">
        <f>"-81kg"</f>
        <v>-81kg</v>
      </c>
      <c r="H682" s="7" t="str">
        <f>"0048521"</f>
        <v>0048521</v>
      </c>
      <c r="I682" s="7" t="str">
        <f t="shared" si="125"/>
        <v>QC</v>
      </c>
      <c r="J682" s="7" t="s">
        <v>168</v>
      </c>
      <c r="K682" s="7" t="str">
        <f>""</f>
        <v/>
      </c>
      <c r="L682" s="7" t="s">
        <v>287</v>
      </c>
      <c r="M682" s="7" t="s">
        <v>295</v>
      </c>
      <c r="N682" s="7"/>
    </row>
    <row r="683" spans="1:14" x14ac:dyDescent="0.25">
      <c r="A683" s="7" t="str">
        <f>"Stephane"</f>
        <v>Stephane</v>
      </c>
      <c r="B683" s="7" t="str">
        <f>"Gignac"</f>
        <v>Gignac</v>
      </c>
      <c r="C683" s="7" t="str">
        <f t="shared" si="121"/>
        <v>M</v>
      </c>
      <c r="D683" s="7" t="str">
        <f t="shared" si="124"/>
        <v>Vétéran</v>
      </c>
      <c r="E683" s="2">
        <v>1977</v>
      </c>
      <c r="F683" s="7" t="str">
        <f>"Itc Budokan"</f>
        <v>Itc Budokan</v>
      </c>
      <c r="G683" s="7" t="str">
        <f>"-81kg"</f>
        <v>-81kg</v>
      </c>
      <c r="H683" s="7" t="str">
        <f>"0188065"</f>
        <v>0188065</v>
      </c>
      <c r="I683" s="7" t="str">
        <f t="shared" si="125"/>
        <v>QC</v>
      </c>
      <c r="J683" s="7" t="s">
        <v>167</v>
      </c>
      <c r="K683" s="7" t="str">
        <f>""</f>
        <v/>
      </c>
      <c r="L683" s="7" t="s">
        <v>287</v>
      </c>
      <c r="M683" s="7" t="s">
        <v>295</v>
      </c>
      <c r="N683" s="7"/>
    </row>
    <row r="684" spans="1:14" x14ac:dyDescent="0.25">
      <c r="A684" s="7" t="str">
        <f>"Benoit"</f>
        <v>Benoit</v>
      </c>
      <c r="B684" s="7" t="str">
        <f>"Jobin"</f>
        <v>Jobin</v>
      </c>
      <c r="C684" s="7" t="str">
        <f t="shared" si="121"/>
        <v>M</v>
      </c>
      <c r="D684" s="7" t="str">
        <f t="shared" si="124"/>
        <v>Vétéran</v>
      </c>
      <c r="E684" s="2">
        <v>1986</v>
      </c>
      <c r="F684" s="7" t="str">
        <f>"Judo Univestrie/donini"</f>
        <v>Judo Univestrie/donini</v>
      </c>
      <c r="G684" s="7" t="str">
        <f>"-81kg"</f>
        <v>-81kg</v>
      </c>
      <c r="H684" s="7" t="str">
        <f>"0083240"</f>
        <v>0083240</v>
      </c>
      <c r="I684" s="7" t="str">
        <f t="shared" si="125"/>
        <v>QC</v>
      </c>
      <c r="J684" s="7" t="s">
        <v>168</v>
      </c>
      <c r="K684" s="7" t="str">
        <f>""</f>
        <v/>
      </c>
      <c r="L684" s="7" t="s">
        <v>289</v>
      </c>
      <c r="M684" s="7" t="s">
        <v>295</v>
      </c>
      <c r="N684" s="7"/>
    </row>
    <row r="685" spans="1:14" x14ac:dyDescent="0.25">
      <c r="A685" s="7" t="str">
        <f>"Marc"</f>
        <v>Marc</v>
      </c>
      <c r="B685" s="7" t="str">
        <f>"Lavigne-Gagnon"</f>
        <v>Lavigne-Gagnon</v>
      </c>
      <c r="C685" s="7" t="str">
        <f t="shared" si="121"/>
        <v>M</v>
      </c>
      <c r="D685" s="7" t="str">
        <f t="shared" si="124"/>
        <v>Vétéran</v>
      </c>
      <c r="E685" s="2">
        <v>1975</v>
      </c>
      <c r="F685" s="7" t="str">
        <f>"Club de judo Shidokan inc."</f>
        <v>Club de judo Shidokan inc.</v>
      </c>
      <c r="G685" s="7" t="str">
        <f>"-81kg"</f>
        <v>-81kg</v>
      </c>
      <c r="H685" s="7" t="str">
        <f>"0212708"</f>
        <v>0212708</v>
      </c>
      <c r="I685" s="7" t="str">
        <f t="shared" si="125"/>
        <v>QC</v>
      </c>
      <c r="J685" s="7" t="s">
        <v>167</v>
      </c>
      <c r="K685" s="7" t="str">
        <f>""</f>
        <v/>
      </c>
      <c r="L685" s="7" t="s">
        <v>287</v>
      </c>
      <c r="M685" s="7" t="s">
        <v>295</v>
      </c>
      <c r="N685" s="7"/>
    </row>
    <row r="686" spans="1:14" x14ac:dyDescent="0.25">
      <c r="A686" s="11" t="str">
        <f>"Jean-Pierre"</f>
        <v>Jean-Pierre</v>
      </c>
      <c r="B686" s="11" t="str">
        <f>"Allard"</f>
        <v>Allard</v>
      </c>
      <c r="C686" s="11" t="str">
        <f t="shared" si="121"/>
        <v>M</v>
      </c>
      <c r="D686" s="11" t="str">
        <f t="shared" si="124"/>
        <v>Vétéran</v>
      </c>
      <c r="E686" s="2">
        <v>1980</v>
      </c>
      <c r="F686" s="11" t="str">
        <f>"Club de Judo Multisports"</f>
        <v>Club de Judo Multisports</v>
      </c>
      <c r="G686" s="11" t="str">
        <f>"-90kg"</f>
        <v>-90kg</v>
      </c>
      <c r="H686" s="11" t="str">
        <f>"0098308"</f>
        <v>0098308</v>
      </c>
      <c r="I686" s="11" t="str">
        <f t="shared" si="125"/>
        <v>QC</v>
      </c>
      <c r="J686" s="11" t="s">
        <v>167</v>
      </c>
      <c r="K686" s="11" t="str">
        <f>""</f>
        <v/>
      </c>
      <c r="L686" s="11" t="s">
        <v>288</v>
      </c>
      <c r="M686" s="11" t="s">
        <v>294</v>
      </c>
      <c r="N686" s="11"/>
    </row>
    <row r="687" spans="1:14" x14ac:dyDescent="0.25">
      <c r="A687" s="11" t="str">
        <f>"Amath"</f>
        <v>Amath</v>
      </c>
      <c r="B687" s="11" t="str">
        <f>"Kane"</f>
        <v>Kane</v>
      </c>
      <c r="C687" s="11" t="str">
        <f t="shared" si="121"/>
        <v>M</v>
      </c>
      <c r="D687" s="11" t="str">
        <f t="shared" si="124"/>
        <v>Vétéran</v>
      </c>
      <c r="E687" s="2">
        <v>1974</v>
      </c>
      <c r="F687" s="11" t="str">
        <f>"Club de judo Olympique"</f>
        <v>Club de judo Olympique</v>
      </c>
      <c r="G687" s="11" t="str">
        <f>"-100kg"</f>
        <v>-100kg</v>
      </c>
      <c r="H687" s="11" t="str">
        <f>"0226652"</f>
        <v>0226652</v>
      </c>
      <c r="I687" s="11" t="str">
        <f t="shared" si="125"/>
        <v>QC</v>
      </c>
      <c r="J687" s="11" t="s">
        <v>169</v>
      </c>
      <c r="K687" s="11" t="str">
        <f>""</f>
        <v/>
      </c>
      <c r="L687" s="11" t="s">
        <v>286</v>
      </c>
      <c r="M687" s="11" t="s">
        <v>294</v>
      </c>
      <c r="N687" s="11"/>
    </row>
    <row r="688" spans="1:14" x14ac:dyDescent="0.25">
      <c r="A688" s="11" t="str">
        <f>"Catalin"</f>
        <v>Catalin</v>
      </c>
      <c r="B688" s="11" t="str">
        <f>"Popovici"</f>
        <v>Popovici</v>
      </c>
      <c r="C688" s="11" t="str">
        <f t="shared" si="121"/>
        <v>M</v>
      </c>
      <c r="D688" s="11" t="str">
        <f t="shared" si="124"/>
        <v>Vétéran</v>
      </c>
      <c r="E688" s="2">
        <v>1972</v>
      </c>
      <c r="F688" s="11" t="str">
        <f>"Club de judo Shidokan inc."</f>
        <v>Club de judo Shidokan inc.</v>
      </c>
      <c r="G688" s="11" t="str">
        <f>"-90kg"</f>
        <v>-90kg</v>
      </c>
      <c r="H688" s="11" t="str">
        <f>"0166362"</f>
        <v>0166362</v>
      </c>
      <c r="I688" s="11" t="str">
        <f t="shared" si="125"/>
        <v>QC</v>
      </c>
      <c r="J688" s="11" t="s">
        <v>167</v>
      </c>
      <c r="K688" s="11" t="str">
        <f>""</f>
        <v/>
      </c>
      <c r="L688" s="11" t="s">
        <v>286</v>
      </c>
      <c r="M688" s="11" t="s">
        <v>294</v>
      </c>
      <c r="N688" s="11"/>
    </row>
    <row r="689" spans="1:14" x14ac:dyDescent="0.25">
      <c r="A689" s="1" t="str">
        <f>"François"</f>
        <v>François</v>
      </c>
      <c r="B689" s="1" t="str">
        <f>"Bernaquez"</f>
        <v>Bernaquez</v>
      </c>
      <c r="C689" s="1" t="str">
        <f t="shared" si="121"/>
        <v>M</v>
      </c>
      <c r="D689" s="1" t="str">
        <f t="shared" si="124"/>
        <v>Vétéran</v>
      </c>
      <c r="E689" s="2">
        <v>1968</v>
      </c>
      <c r="F689" s="1" t="str">
        <f>"Bushidokan"</f>
        <v>Bushidokan</v>
      </c>
      <c r="G689" s="1" t="str">
        <f>"-90kg"</f>
        <v>-90kg</v>
      </c>
      <c r="H689" s="1" t="str">
        <f>"0013007"</f>
        <v>0013007</v>
      </c>
      <c r="I689" s="1" t="str">
        <f t="shared" si="125"/>
        <v>QC</v>
      </c>
      <c r="J689" s="1" t="s">
        <v>169</v>
      </c>
      <c r="K689" s="1" t="str">
        <f>""</f>
        <v/>
      </c>
      <c r="L689" s="1" t="s">
        <v>296</v>
      </c>
      <c r="M689" s="1" t="s">
        <v>293</v>
      </c>
      <c r="N689" s="1"/>
    </row>
    <row r="690" spans="1:14" x14ac:dyDescent="0.25">
      <c r="A690" s="6" t="str">
        <f>"Mohammed-Amine"</f>
        <v>Mohammed-Amine</v>
      </c>
      <c r="B690" s="6" t="str">
        <f>"Boukhou"</f>
        <v>Boukhou</v>
      </c>
      <c r="C690" s="6" t="str">
        <f t="shared" si="121"/>
        <v>M</v>
      </c>
      <c r="D690" s="6" t="str">
        <f t="shared" si="124"/>
        <v>Vétéran</v>
      </c>
      <c r="E690" s="2">
        <v>1973</v>
      </c>
      <c r="F690" s="6" t="str">
        <f>"Club de judo Torii"</f>
        <v>Club de judo Torii</v>
      </c>
      <c r="G690" s="6" t="str">
        <f>"+100kg"</f>
        <v>+100kg</v>
      </c>
      <c r="H690" s="6" t="str">
        <f>"0215677"</f>
        <v>0215677</v>
      </c>
      <c r="I690" s="6" t="str">
        <f t="shared" si="125"/>
        <v>QC</v>
      </c>
      <c r="J690" s="6" t="s">
        <v>167</v>
      </c>
      <c r="K690" s="6" t="str">
        <f>""</f>
        <v/>
      </c>
      <c r="L690" s="6" t="s">
        <v>286</v>
      </c>
      <c r="M690" s="6" t="s">
        <v>290</v>
      </c>
      <c r="N690" s="6"/>
    </row>
    <row r="691" spans="1:14" x14ac:dyDescent="0.25">
      <c r="A691" s="6" t="str">
        <f>"Luc"</f>
        <v>Luc</v>
      </c>
      <c r="B691" s="6" t="str">
        <f>"Godbout"</f>
        <v>Godbout</v>
      </c>
      <c r="C691" s="6" t="str">
        <f t="shared" si="121"/>
        <v>M</v>
      </c>
      <c r="D691" s="6" t="str">
        <f t="shared" si="124"/>
        <v>Vétéran</v>
      </c>
      <c r="E691" s="2">
        <v>1978</v>
      </c>
      <c r="F691" s="6" t="str">
        <f>"Club de judo de la vieille capitale"</f>
        <v>Club de judo de la vieille capitale</v>
      </c>
      <c r="G691" s="6" t="str">
        <f>"+100kg"</f>
        <v>+100kg</v>
      </c>
      <c r="H691" s="6" t="str">
        <f>"0232987"</f>
        <v>0232987</v>
      </c>
      <c r="I691" s="6" t="str">
        <f t="shared" si="125"/>
        <v>QC</v>
      </c>
      <c r="J691" s="6" t="s">
        <v>167</v>
      </c>
      <c r="K691" s="6" t="str">
        <f>""</f>
        <v/>
      </c>
      <c r="L691" s="6" t="s">
        <v>287</v>
      </c>
      <c r="M691" s="6" t="s">
        <v>290</v>
      </c>
      <c r="N691" s="6"/>
    </row>
    <row r="692" spans="1:14" x14ac:dyDescent="0.25">
      <c r="A692" s="6" t="str">
        <f>"Issac"</f>
        <v>Issac</v>
      </c>
      <c r="B692" s="6" t="str">
        <f>"Pudas"</f>
        <v>Pudas</v>
      </c>
      <c r="C692" s="6" t="str">
        <f t="shared" si="121"/>
        <v>M</v>
      </c>
      <c r="D692" s="6" t="str">
        <f t="shared" si="124"/>
        <v>Vétéran</v>
      </c>
      <c r="E692" s="2">
        <v>1975</v>
      </c>
      <c r="F692" s="6" t="str">
        <f>"Kiseki Judo"</f>
        <v>Kiseki Judo</v>
      </c>
      <c r="G692" s="6" t="str">
        <f>"+100kg"</f>
        <v>+100kg</v>
      </c>
      <c r="H692" s="6" t="str">
        <f>"AutreFederation"</f>
        <v>AutreFederation</v>
      </c>
      <c r="I692" s="6" t="str">
        <f t="shared" si="125"/>
        <v>QC</v>
      </c>
      <c r="J692" s="6" t="s">
        <v>168</v>
      </c>
      <c r="K692" s="6" t="str">
        <f>""</f>
        <v/>
      </c>
      <c r="L692" s="6" t="s">
        <v>287</v>
      </c>
      <c r="M692" s="6" t="s">
        <v>290</v>
      </c>
      <c r="N692" s="6"/>
    </row>
    <row r="693" spans="1:14" x14ac:dyDescent="0.25">
      <c r="A693" s="5" t="str">
        <f>"Francois"</f>
        <v>Francois</v>
      </c>
      <c r="B693" s="5" t="str">
        <f>"Duchesneau"</f>
        <v>Duchesneau</v>
      </c>
      <c r="C693" s="5" t="str">
        <f t="shared" si="121"/>
        <v>M</v>
      </c>
      <c r="D693" s="5" t="str">
        <f t="shared" si="124"/>
        <v>Vétéran</v>
      </c>
      <c r="E693" s="2">
        <v>1973</v>
      </c>
      <c r="F693" s="5" t="str">
        <f>"Club de Judo d'Asbestos-Danville"</f>
        <v>Club de Judo d'Asbestos-Danville</v>
      </c>
      <c r="G693" s="5" t="str">
        <f>"-81kg"</f>
        <v>-81kg</v>
      </c>
      <c r="H693" s="5" t="str">
        <f>"0196886"</f>
        <v>0196886</v>
      </c>
      <c r="I693" s="5" t="str">
        <f t="shared" si="125"/>
        <v>QC</v>
      </c>
      <c r="J693" s="5" t="s">
        <v>174</v>
      </c>
      <c r="K693" s="5" t="str">
        <f>""</f>
        <v/>
      </c>
      <c r="L693" s="5" t="s">
        <v>286</v>
      </c>
      <c r="M693" s="5" t="s">
        <v>297</v>
      </c>
      <c r="N693" s="5"/>
    </row>
    <row r="694" spans="1:14" x14ac:dyDescent="0.25">
      <c r="A694" s="5" t="s">
        <v>114</v>
      </c>
      <c r="B694" s="5" t="s">
        <v>146</v>
      </c>
      <c r="C694" s="5" t="s">
        <v>13</v>
      </c>
      <c r="D694" s="5" t="str">
        <f t="shared" si="124"/>
        <v>Vétéran</v>
      </c>
      <c r="E694" s="2">
        <v>1976</v>
      </c>
      <c r="F694" s="5" t="s">
        <v>150</v>
      </c>
      <c r="G694" s="5" t="str">
        <f>"-81kg"</f>
        <v>-81kg</v>
      </c>
      <c r="H694" s="5">
        <v>235126</v>
      </c>
      <c r="I694" s="5" t="s">
        <v>17</v>
      </c>
      <c r="J694" s="5" t="s">
        <v>174</v>
      </c>
      <c r="K694" s="5" t="s">
        <v>10</v>
      </c>
      <c r="L694" s="5" t="s">
        <v>287</v>
      </c>
      <c r="M694" s="5" t="s">
        <v>297</v>
      </c>
      <c r="N694" s="5"/>
    </row>
    <row r="695" spans="1:14" x14ac:dyDescent="0.25">
      <c r="A695" s="1" t="str">
        <f>"Vincent"</f>
        <v>Vincent</v>
      </c>
      <c r="B695" s="1" t="str">
        <f>"Lavoie"</f>
        <v>Lavoie</v>
      </c>
      <c r="C695" s="1" t="str">
        <f>"M"</f>
        <v>M</v>
      </c>
      <c r="D695" s="1" t="str">
        <f t="shared" si="124"/>
        <v>Vétéran</v>
      </c>
      <c r="E695" s="2">
        <v>1954</v>
      </c>
      <c r="F695" s="1" t="str">
        <f>"Club de Judo centre Multisports"</f>
        <v>Club de Judo centre Multisports</v>
      </c>
      <c r="G695" s="1" t="str">
        <f>"-81kg"</f>
        <v>-81kg</v>
      </c>
      <c r="H695" s="1" t="str">
        <f>"314"</f>
        <v>314</v>
      </c>
      <c r="I695" s="1" t="s">
        <v>17</v>
      </c>
      <c r="J695" s="1" t="s">
        <v>169</v>
      </c>
      <c r="K695" s="1" t="str">
        <f>""</f>
        <v/>
      </c>
      <c r="L695" s="1" t="s">
        <v>284</v>
      </c>
      <c r="M695" s="1" t="s">
        <v>292</v>
      </c>
      <c r="N695" s="1"/>
    </row>
    <row r="696" spans="1:14" x14ac:dyDescent="0.25">
      <c r="A696" s="1" t="str">
        <f>"André"</f>
        <v>André</v>
      </c>
      <c r="B696" s="1" t="str">
        <f>"Roy"</f>
        <v>Roy</v>
      </c>
      <c r="C696" s="1" t="str">
        <f>"M"</f>
        <v>M</v>
      </c>
      <c r="D696" s="1" t="str">
        <f t="shared" si="124"/>
        <v>Vétéran</v>
      </c>
      <c r="E696" s="2">
        <v>1968</v>
      </c>
      <c r="F696" s="1" t="str">
        <f>"Club de judo de la vieille capitale"</f>
        <v>Club de judo de la vieille capitale</v>
      </c>
      <c r="G696" s="1" t="str">
        <f>"-81kg"</f>
        <v>-81kg</v>
      </c>
      <c r="H696" s="1" t="str">
        <f>"9390"</f>
        <v>9390</v>
      </c>
      <c r="I696" s="1" t="str">
        <f>"QC"</f>
        <v>QC</v>
      </c>
      <c r="J696" s="1" t="s">
        <v>168</v>
      </c>
      <c r="K696" s="1" t="str">
        <f>""</f>
        <v/>
      </c>
      <c r="L696" s="1" t="s">
        <v>285</v>
      </c>
      <c r="M696" s="1" t="s">
        <v>292</v>
      </c>
      <c r="N696" s="1"/>
    </row>
  </sheetData>
  <autoFilter ref="A1:N696">
    <sortState ref="A2:P696">
      <sortCondition ref="D2:D696"/>
      <sortCondition ref="C2:C696"/>
      <sortCondition ref="M2:M696"/>
      <sortCondition ref="B2:B696"/>
    </sortState>
  </autoFilter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xSplit="2" ySplit="3" topLeftCell="C4" activePane="bottomRight" state="frozen"/>
      <selection activeCell="H1" sqref="H1"/>
      <selection pane="topRight" activeCell="L1" sqref="L1"/>
      <selection pane="bottomLeft" activeCell="H2" sqref="H2"/>
      <selection pane="bottomRight" activeCell="F1" sqref="E1:F1048576"/>
    </sheetView>
  </sheetViews>
  <sheetFormatPr baseColWidth="10" defaultColWidth="8.85546875" defaultRowHeight="15" x14ac:dyDescent="0.25"/>
  <cols>
    <col min="1" max="2" width="17.42578125" style="2" customWidth="1"/>
    <col min="3" max="4" width="9.28515625" style="2" customWidth="1"/>
    <col min="5" max="5" width="10.85546875" style="2" customWidth="1"/>
    <col min="6" max="6" width="27.7109375" style="2" customWidth="1"/>
    <col min="7" max="9" width="8.85546875" style="2"/>
    <col min="10" max="10" width="8" style="2" customWidth="1"/>
    <col min="11" max="11" width="21.5703125" style="2" customWidth="1"/>
    <col min="12" max="12" width="24.7109375" style="2" customWidth="1"/>
    <col min="13" max="13" width="11.5703125" style="2" customWidth="1"/>
    <col min="14" max="16384" width="8.85546875" style="2"/>
  </cols>
  <sheetData>
    <row r="1" spans="1:14" ht="21" x14ac:dyDescent="0.35">
      <c r="A1" s="13" t="s">
        <v>377</v>
      </c>
    </row>
    <row r="3" spans="1:14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tr">
        <f>"CEINTURE"</f>
        <v>CEINTURE</v>
      </c>
      <c r="K3" s="2" t="str">
        <f>"POIDS - POUR LE U12 ET V?T?RANS"</f>
        <v>POIDS - POUR LE U12 ET V?T?RANS</v>
      </c>
      <c r="L3" s="2" t="s">
        <v>9</v>
      </c>
      <c r="M3" s="2" t="s">
        <v>170</v>
      </c>
      <c r="N3" s="2" t="s">
        <v>209</v>
      </c>
    </row>
    <row r="4" spans="1:14" x14ac:dyDescent="0.25">
      <c r="A4" s="4" t="s">
        <v>299</v>
      </c>
      <c r="B4" s="4" t="s">
        <v>300</v>
      </c>
      <c r="C4" s="4" t="s">
        <v>52</v>
      </c>
      <c r="D4" s="4" t="s">
        <v>301</v>
      </c>
      <c r="E4" s="4" t="s">
        <v>404</v>
      </c>
      <c r="F4" s="4" t="s">
        <v>302</v>
      </c>
      <c r="G4" s="4" t="s">
        <v>303</v>
      </c>
      <c r="H4" s="4" t="s">
        <v>304</v>
      </c>
      <c r="I4" s="4" t="s">
        <v>17</v>
      </c>
      <c r="J4" s="4" t="s">
        <v>175</v>
      </c>
      <c r="K4" s="4" t="s">
        <v>10</v>
      </c>
      <c r="L4" s="4" t="s">
        <v>180</v>
      </c>
      <c r="M4" s="4" t="s">
        <v>189</v>
      </c>
    </row>
    <row r="5" spans="1:14" x14ac:dyDescent="0.25">
      <c r="A5" s="4" t="s">
        <v>305</v>
      </c>
      <c r="B5" s="4" t="s">
        <v>306</v>
      </c>
      <c r="C5" s="4" t="s">
        <v>52</v>
      </c>
      <c r="D5" s="4" t="s">
        <v>301</v>
      </c>
      <c r="E5" s="4" t="s">
        <v>405</v>
      </c>
      <c r="F5" s="4" t="s">
        <v>307</v>
      </c>
      <c r="G5" s="4" t="s">
        <v>308</v>
      </c>
      <c r="H5" s="4" t="s">
        <v>309</v>
      </c>
      <c r="I5" s="4" t="s">
        <v>17</v>
      </c>
      <c r="J5" s="4" t="s">
        <v>174</v>
      </c>
      <c r="K5" s="4" t="s">
        <v>10</v>
      </c>
      <c r="L5" s="4" t="s">
        <v>180</v>
      </c>
      <c r="M5" s="4" t="s">
        <v>190</v>
      </c>
    </row>
    <row r="6" spans="1:14" x14ac:dyDescent="0.25">
      <c r="A6" s="4" t="s">
        <v>310</v>
      </c>
      <c r="B6" s="4" t="s">
        <v>311</v>
      </c>
      <c r="C6" s="4" t="s">
        <v>52</v>
      </c>
      <c r="D6" s="4" t="s">
        <v>301</v>
      </c>
      <c r="E6" s="4" t="s">
        <v>404</v>
      </c>
      <c r="F6" s="4" t="s">
        <v>312</v>
      </c>
      <c r="G6" s="4" t="s">
        <v>313</v>
      </c>
      <c r="H6" s="4" t="s">
        <v>314</v>
      </c>
      <c r="I6" s="4" t="s">
        <v>17</v>
      </c>
      <c r="J6" s="4" t="s">
        <v>174</v>
      </c>
      <c r="K6" s="4" t="s">
        <v>10</v>
      </c>
      <c r="L6" s="4" t="s">
        <v>180</v>
      </c>
      <c r="M6" s="4" t="s">
        <v>194</v>
      </c>
    </row>
    <row r="7" spans="1:14" x14ac:dyDescent="0.25">
      <c r="A7" s="4" t="s">
        <v>315</v>
      </c>
      <c r="B7" s="4" t="s">
        <v>316</v>
      </c>
      <c r="C7" s="4" t="s">
        <v>52</v>
      </c>
      <c r="D7" s="4" t="s">
        <v>301</v>
      </c>
      <c r="E7" s="4" t="s">
        <v>404</v>
      </c>
      <c r="F7" s="4" t="s">
        <v>317</v>
      </c>
      <c r="G7" s="4" t="s">
        <v>318</v>
      </c>
      <c r="H7" s="4" t="s">
        <v>319</v>
      </c>
      <c r="I7" s="4" t="s">
        <v>17</v>
      </c>
      <c r="J7" s="4" t="s">
        <v>174</v>
      </c>
      <c r="K7" s="4" t="s">
        <v>10</v>
      </c>
      <c r="L7" s="4" t="s">
        <v>180</v>
      </c>
      <c r="M7" s="4" t="s">
        <v>193</v>
      </c>
    </row>
    <row r="8" spans="1:14" x14ac:dyDescent="0.25">
      <c r="A8" s="4" t="s">
        <v>320</v>
      </c>
      <c r="B8" s="4" t="s">
        <v>321</v>
      </c>
      <c r="C8" s="4" t="s">
        <v>52</v>
      </c>
      <c r="D8" s="4" t="s">
        <v>301</v>
      </c>
      <c r="E8" s="4" t="s">
        <v>404</v>
      </c>
      <c r="F8" s="4" t="s">
        <v>322</v>
      </c>
      <c r="G8" s="4" t="s">
        <v>323</v>
      </c>
      <c r="H8" s="4" t="s">
        <v>324</v>
      </c>
      <c r="I8" s="4" t="s">
        <v>17</v>
      </c>
      <c r="J8" s="4" t="s">
        <v>172</v>
      </c>
      <c r="K8" s="4" t="s">
        <v>10</v>
      </c>
      <c r="L8" s="4" t="s">
        <v>180</v>
      </c>
      <c r="M8" s="4" t="s">
        <v>187</v>
      </c>
    </row>
    <row r="9" spans="1:14" x14ac:dyDescent="0.25">
      <c r="A9" s="4" t="s">
        <v>325</v>
      </c>
      <c r="B9" s="4" t="s">
        <v>326</v>
      </c>
      <c r="C9" s="4" t="s">
        <v>52</v>
      </c>
      <c r="D9" s="4" t="s">
        <v>301</v>
      </c>
      <c r="E9" s="4" t="s">
        <v>404</v>
      </c>
      <c r="F9" s="4" t="s">
        <v>327</v>
      </c>
      <c r="G9" s="4" t="s">
        <v>323</v>
      </c>
      <c r="H9" s="4" t="s">
        <v>328</v>
      </c>
      <c r="I9" s="4" t="s">
        <v>17</v>
      </c>
      <c r="J9" s="4" t="s">
        <v>174</v>
      </c>
      <c r="K9" s="4" t="s">
        <v>10</v>
      </c>
      <c r="L9" s="4" t="s">
        <v>180</v>
      </c>
      <c r="M9" s="4" t="s">
        <v>191</v>
      </c>
    </row>
    <row r="10" spans="1:14" x14ac:dyDescent="0.25">
      <c r="A10" s="4" t="s">
        <v>329</v>
      </c>
      <c r="B10" s="4" t="s">
        <v>330</v>
      </c>
      <c r="C10" s="4" t="s">
        <v>52</v>
      </c>
      <c r="D10" s="4" t="s">
        <v>301</v>
      </c>
      <c r="E10" s="4" t="s">
        <v>404</v>
      </c>
      <c r="F10" s="4" t="s">
        <v>156</v>
      </c>
      <c r="G10" s="4" t="s">
        <v>331</v>
      </c>
      <c r="H10" s="4" t="s">
        <v>332</v>
      </c>
      <c r="I10" s="4" t="s">
        <v>162</v>
      </c>
      <c r="J10" s="4" t="s">
        <v>165</v>
      </c>
      <c r="K10" s="4" t="s">
        <v>10</v>
      </c>
      <c r="L10" s="4" t="s">
        <v>180</v>
      </c>
      <c r="M10" s="4" t="s">
        <v>188</v>
      </c>
    </row>
    <row r="11" spans="1:14" x14ac:dyDescent="0.25">
      <c r="A11" s="4" t="s">
        <v>40</v>
      </c>
      <c r="B11" s="4" t="s">
        <v>333</v>
      </c>
      <c r="C11" s="4" t="s">
        <v>13</v>
      </c>
      <c r="D11" s="4" t="s">
        <v>301</v>
      </c>
      <c r="E11" s="4" t="s">
        <v>405</v>
      </c>
      <c r="F11" s="4" t="s">
        <v>334</v>
      </c>
      <c r="G11" s="4" t="s">
        <v>15</v>
      </c>
      <c r="H11" s="4" t="s">
        <v>335</v>
      </c>
      <c r="I11" s="4" t="s">
        <v>17</v>
      </c>
      <c r="J11" s="4" t="s">
        <v>171</v>
      </c>
      <c r="K11" s="4" t="s">
        <v>10</v>
      </c>
      <c r="L11" s="4" t="s">
        <v>180</v>
      </c>
      <c r="M11" s="4" t="s">
        <v>212</v>
      </c>
    </row>
    <row r="12" spans="1:14" x14ac:dyDescent="0.25">
      <c r="A12" s="4" t="s">
        <v>336</v>
      </c>
      <c r="B12" s="4" t="s">
        <v>337</v>
      </c>
      <c r="C12" s="4" t="s">
        <v>52</v>
      </c>
      <c r="D12" s="4" t="s">
        <v>157</v>
      </c>
      <c r="E12" s="4" t="s">
        <v>406</v>
      </c>
      <c r="F12" s="4" t="s">
        <v>317</v>
      </c>
      <c r="G12" s="4" t="s">
        <v>338</v>
      </c>
      <c r="H12" s="4" t="s">
        <v>339</v>
      </c>
      <c r="I12" s="4" t="s">
        <v>17</v>
      </c>
      <c r="J12" s="4" t="s">
        <v>175</v>
      </c>
      <c r="K12" s="4" t="s">
        <v>10</v>
      </c>
      <c r="L12" s="4" t="s">
        <v>180</v>
      </c>
      <c r="M12" s="4" t="s">
        <v>226</v>
      </c>
    </row>
    <row r="13" spans="1:14" x14ac:dyDescent="0.25">
      <c r="A13" s="4" t="s">
        <v>340</v>
      </c>
      <c r="B13" s="4" t="s">
        <v>341</v>
      </c>
      <c r="C13" s="4" t="s">
        <v>13</v>
      </c>
      <c r="D13" s="4" t="s">
        <v>157</v>
      </c>
      <c r="E13" s="4" t="s">
        <v>406</v>
      </c>
      <c r="F13" s="4" t="s">
        <v>342</v>
      </c>
      <c r="G13" s="4" t="s">
        <v>15</v>
      </c>
      <c r="H13" s="4" t="s">
        <v>343</v>
      </c>
      <c r="I13" s="4" t="s">
        <v>17</v>
      </c>
      <c r="J13" s="4" t="s">
        <v>171</v>
      </c>
      <c r="K13" s="4" t="s">
        <v>10</v>
      </c>
      <c r="L13" s="4" t="s">
        <v>151</v>
      </c>
      <c r="M13" s="4" t="s">
        <v>240</v>
      </c>
    </row>
    <row r="14" spans="1:14" x14ac:dyDescent="0.25">
      <c r="A14" s="4" t="s">
        <v>344</v>
      </c>
      <c r="B14" s="4" t="s">
        <v>330</v>
      </c>
      <c r="C14" s="4" t="s">
        <v>52</v>
      </c>
      <c r="D14" s="4" t="s">
        <v>345</v>
      </c>
      <c r="E14" s="4" t="s">
        <v>407</v>
      </c>
      <c r="F14" s="4" t="s">
        <v>156</v>
      </c>
      <c r="G14" s="4" t="s">
        <v>331</v>
      </c>
      <c r="H14" s="4" t="s">
        <v>346</v>
      </c>
      <c r="I14" s="4" t="s">
        <v>162</v>
      </c>
      <c r="J14" s="4" t="s">
        <v>165</v>
      </c>
      <c r="K14" s="4" t="s">
        <v>151</v>
      </c>
      <c r="L14" s="4" t="s">
        <v>180</v>
      </c>
      <c r="M14" s="4" t="s">
        <v>244</v>
      </c>
    </row>
    <row r="15" spans="1:14" x14ac:dyDescent="0.25">
      <c r="A15" s="4" t="s">
        <v>347</v>
      </c>
      <c r="B15" s="4" t="s">
        <v>348</v>
      </c>
      <c r="C15" s="4" t="s">
        <v>52</v>
      </c>
      <c r="D15" s="4" t="s">
        <v>345</v>
      </c>
      <c r="E15" s="4" t="s">
        <v>407</v>
      </c>
      <c r="F15" s="4" t="s">
        <v>349</v>
      </c>
      <c r="G15" s="4" t="s">
        <v>53</v>
      </c>
      <c r="H15" s="4" t="s">
        <v>350</v>
      </c>
      <c r="I15" s="4" t="s">
        <v>17</v>
      </c>
      <c r="J15" s="4" t="s">
        <v>171</v>
      </c>
      <c r="K15" s="4" t="s">
        <v>10</v>
      </c>
      <c r="L15" s="4" t="s">
        <v>180</v>
      </c>
      <c r="M15" s="4" t="s">
        <v>245</v>
      </c>
    </row>
    <row r="16" spans="1:14" x14ac:dyDescent="0.25">
      <c r="A16" s="4" t="s">
        <v>351</v>
      </c>
      <c r="B16" s="4" t="s">
        <v>352</v>
      </c>
      <c r="C16" s="4" t="s">
        <v>52</v>
      </c>
      <c r="D16" s="4" t="s">
        <v>345</v>
      </c>
      <c r="E16" s="4" t="s">
        <v>407</v>
      </c>
      <c r="F16" s="4" t="s">
        <v>353</v>
      </c>
      <c r="G16" s="4" t="s">
        <v>338</v>
      </c>
      <c r="H16" s="4" t="s">
        <v>354</v>
      </c>
      <c r="I16" s="4" t="s">
        <v>17</v>
      </c>
      <c r="J16" s="4" t="s">
        <v>164</v>
      </c>
      <c r="K16" s="4" t="s">
        <v>151</v>
      </c>
      <c r="L16" s="4" t="s">
        <v>180</v>
      </c>
      <c r="M16" s="4" t="s">
        <v>250</v>
      </c>
    </row>
    <row r="17" spans="1:14" x14ac:dyDescent="0.25">
      <c r="A17" s="4" t="s">
        <v>80</v>
      </c>
      <c r="B17" s="4" t="s">
        <v>355</v>
      </c>
      <c r="C17" s="4" t="s">
        <v>13</v>
      </c>
      <c r="D17" s="4" t="s">
        <v>345</v>
      </c>
      <c r="E17" s="4" t="s">
        <v>407</v>
      </c>
      <c r="F17" s="4" t="s">
        <v>317</v>
      </c>
      <c r="G17" s="4" t="s">
        <v>356</v>
      </c>
      <c r="H17" s="4" t="s">
        <v>357</v>
      </c>
      <c r="I17" s="4" t="s">
        <v>17</v>
      </c>
      <c r="J17" s="4" t="s">
        <v>167</v>
      </c>
      <c r="K17" s="4" t="s">
        <v>151</v>
      </c>
      <c r="L17" s="4" t="s">
        <v>151</v>
      </c>
      <c r="M17" s="4" t="s">
        <v>254</v>
      </c>
    </row>
    <row r="18" spans="1:14" x14ac:dyDescent="0.25">
      <c r="A18" s="4" t="s">
        <v>358</v>
      </c>
      <c r="B18" s="4" t="s">
        <v>359</v>
      </c>
      <c r="C18" s="4" t="s">
        <v>13</v>
      </c>
      <c r="D18" s="4" t="s">
        <v>345</v>
      </c>
      <c r="E18" s="4" t="s">
        <v>407</v>
      </c>
      <c r="F18" s="4" t="s">
        <v>14</v>
      </c>
      <c r="G18" s="4" t="s">
        <v>360</v>
      </c>
      <c r="H18" s="4" t="s">
        <v>361</v>
      </c>
      <c r="I18" s="4" t="s">
        <v>17</v>
      </c>
      <c r="J18" s="4" t="s">
        <v>167</v>
      </c>
      <c r="K18" s="4" t="s">
        <v>151</v>
      </c>
      <c r="L18" s="4" t="s">
        <v>151</v>
      </c>
      <c r="M18" s="4" t="s">
        <v>258</v>
      </c>
    </row>
    <row r="19" spans="1:14" x14ac:dyDescent="0.25">
      <c r="A19" s="4" t="s">
        <v>362</v>
      </c>
      <c r="B19" s="4" t="s">
        <v>363</v>
      </c>
      <c r="C19" s="4" t="s">
        <v>13</v>
      </c>
      <c r="D19" s="4" t="s">
        <v>364</v>
      </c>
      <c r="E19" s="4" t="s">
        <v>408</v>
      </c>
      <c r="F19" s="4" t="s">
        <v>365</v>
      </c>
      <c r="G19" s="4" t="s">
        <v>366</v>
      </c>
      <c r="H19" s="4" t="s">
        <v>367</v>
      </c>
      <c r="I19" s="4" t="s">
        <v>17</v>
      </c>
      <c r="J19" s="4" t="s">
        <v>171</v>
      </c>
      <c r="K19" s="4" t="s">
        <v>151</v>
      </c>
      <c r="L19" s="4" t="s">
        <v>151</v>
      </c>
      <c r="M19" s="4" t="s">
        <v>276</v>
      </c>
    </row>
    <row r="20" spans="1:14" x14ac:dyDescent="0.25">
      <c r="A20" s="4" t="s">
        <v>368</v>
      </c>
      <c r="B20" s="4" t="s">
        <v>369</v>
      </c>
      <c r="C20" s="4" t="s">
        <v>13</v>
      </c>
      <c r="D20" s="4" t="s">
        <v>364</v>
      </c>
      <c r="E20" s="4" t="s">
        <v>409</v>
      </c>
      <c r="F20" s="4" t="s">
        <v>370</v>
      </c>
      <c r="G20" s="4" t="s">
        <v>371</v>
      </c>
      <c r="H20" s="4" t="s">
        <v>372</v>
      </c>
      <c r="I20" s="4" t="s">
        <v>17</v>
      </c>
      <c r="J20" s="4" t="s">
        <v>165</v>
      </c>
      <c r="K20" s="4" t="s">
        <v>151</v>
      </c>
      <c r="L20" s="4" t="s">
        <v>151</v>
      </c>
      <c r="M20" s="4" t="s">
        <v>275</v>
      </c>
      <c r="N20" s="4"/>
    </row>
    <row r="21" spans="1:14" x14ac:dyDescent="0.25">
      <c r="A21" s="4" t="s">
        <v>27</v>
      </c>
      <c r="B21" s="4" t="s">
        <v>28</v>
      </c>
      <c r="C21" s="4" t="s">
        <v>13</v>
      </c>
      <c r="D21" s="4" t="s">
        <v>373</v>
      </c>
      <c r="E21" s="4" t="s">
        <v>407</v>
      </c>
      <c r="F21" s="4" t="s">
        <v>29</v>
      </c>
      <c r="G21" s="4" t="s">
        <v>30</v>
      </c>
      <c r="H21" s="4" t="s">
        <v>31</v>
      </c>
      <c r="I21" s="4" t="s">
        <v>17</v>
      </c>
      <c r="J21" s="4" t="s">
        <v>167</v>
      </c>
      <c r="K21" s="4" t="s">
        <v>151</v>
      </c>
      <c r="L21" s="4" t="s">
        <v>151</v>
      </c>
      <c r="M21" s="4" t="s">
        <v>298</v>
      </c>
    </row>
    <row r="22" spans="1:14" x14ac:dyDescent="0.25">
      <c r="A22" s="4" t="s">
        <v>374</v>
      </c>
      <c r="B22" s="4" t="s">
        <v>375</v>
      </c>
      <c r="C22" s="4" t="s">
        <v>13</v>
      </c>
      <c r="D22" s="4" t="s">
        <v>364</v>
      </c>
      <c r="E22" s="4" t="s">
        <v>410</v>
      </c>
      <c r="F22" s="4" t="s">
        <v>71</v>
      </c>
      <c r="G22" s="4" t="s">
        <v>360</v>
      </c>
      <c r="H22" s="4" t="s">
        <v>376</v>
      </c>
      <c r="I22" s="4" t="s">
        <v>17</v>
      </c>
      <c r="J22" s="4" t="s">
        <v>171</v>
      </c>
      <c r="K22" s="4" t="s">
        <v>151</v>
      </c>
      <c r="L22" s="4" t="s">
        <v>151</v>
      </c>
      <c r="M22" s="4" t="s">
        <v>272</v>
      </c>
    </row>
    <row r="23" spans="1:1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1" x14ac:dyDescent="0.35">
      <c r="A25" s="13" t="s">
        <v>378</v>
      </c>
    </row>
    <row r="27" spans="1:14" x14ac:dyDescent="0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tr">
        <f>"CEINTURE"</f>
        <v>CEINTURE</v>
      </c>
      <c r="K27" s="2" t="str">
        <f>"POIDS - POUR LE U12 ET V?T?RANS"</f>
        <v>POIDS - POUR LE U12 ET V?T?RANS</v>
      </c>
      <c r="L27" s="2" t="s">
        <v>9</v>
      </c>
      <c r="M27" s="2" t="s">
        <v>170</v>
      </c>
      <c r="N27" s="2" t="s">
        <v>209</v>
      </c>
    </row>
    <row r="28" spans="1:14" x14ac:dyDescent="0.25">
      <c r="A28" s="7" t="s">
        <v>315</v>
      </c>
      <c r="B28" s="7" t="s">
        <v>316</v>
      </c>
      <c r="C28" s="7" t="s">
        <v>52</v>
      </c>
      <c r="D28" s="7" t="s">
        <v>157</v>
      </c>
      <c r="E28" s="7" t="s">
        <v>404</v>
      </c>
      <c r="F28" s="7" t="s">
        <v>317</v>
      </c>
      <c r="G28" s="7" t="s">
        <v>318</v>
      </c>
      <c r="H28" s="7" t="s">
        <v>319</v>
      </c>
      <c r="I28" s="7" t="s">
        <v>17</v>
      </c>
      <c r="J28" s="7" t="s">
        <v>174</v>
      </c>
      <c r="K28" s="7" t="s">
        <v>10</v>
      </c>
      <c r="L28" s="4" t="s">
        <v>402</v>
      </c>
      <c r="M28" s="7" t="s">
        <v>221</v>
      </c>
    </row>
    <row r="29" spans="1:14" x14ac:dyDescent="0.25">
      <c r="A29" s="6" t="s">
        <v>379</v>
      </c>
      <c r="B29" s="6" t="s">
        <v>380</v>
      </c>
      <c r="C29" s="6" t="s">
        <v>52</v>
      </c>
      <c r="D29" s="6" t="s">
        <v>157</v>
      </c>
      <c r="E29" s="7" t="s">
        <v>404</v>
      </c>
      <c r="F29" s="6" t="s">
        <v>71</v>
      </c>
      <c r="G29" s="6" t="s">
        <v>381</v>
      </c>
      <c r="H29" s="6" t="s">
        <v>382</v>
      </c>
      <c r="I29" s="6" t="s">
        <v>17</v>
      </c>
      <c r="J29" s="6" t="s">
        <v>174</v>
      </c>
      <c r="K29" s="6" t="s">
        <v>10</v>
      </c>
      <c r="L29" s="4" t="s">
        <v>402</v>
      </c>
      <c r="M29" s="6" t="s">
        <v>222</v>
      </c>
    </row>
    <row r="30" spans="1:14" x14ac:dyDescent="0.25">
      <c r="A30" s="6" t="s">
        <v>383</v>
      </c>
      <c r="B30" s="6" t="s">
        <v>384</v>
      </c>
      <c r="C30" s="6" t="s">
        <v>52</v>
      </c>
      <c r="D30" s="6" t="s">
        <v>157</v>
      </c>
      <c r="E30" s="7" t="s">
        <v>404</v>
      </c>
      <c r="F30" s="6" t="s">
        <v>14</v>
      </c>
      <c r="G30" s="6" t="s">
        <v>331</v>
      </c>
      <c r="H30" s="6" t="s">
        <v>385</v>
      </c>
      <c r="I30" s="6" t="s">
        <v>17</v>
      </c>
      <c r="J30" s="6" t="s">
        <v>174</v>
      </c>
      <c r="K30" s="6" t="s">
        <v>10</v>
      </c>
      <c r="L30" s="4" t="s">
        <v>402</v>
      </c>
      <c r="M30" s="6" t="s">
        <v>224</v>
      </c>
    </row>
    <row r="31" spans="1:14" x14ac:dyDescent="0.25">
      <c r="A31" s="6" t="s">
        <v>386</v>
      </c>
      <c r="B31" s="6" t="s">
        <v>387</v>
      </c>
      <c r="C31" s="6" t="s">
        <v>13</v>
      </c>
      <c r="D31" s="6" t="s">
        <v>157</v>
      </c>
      <c r="E31" s="7" t="s">
        <v>404</v>
      </c>
      <c r="F31" s="6" t="s">
        <v>78</v>
      </c>
      <c r="G31" s="6" t="s">
        <v>388</v>
      </c>
      <c r="H31" s="6" t="s">
        <v>389</v>
      </c>
      <c r="I31" s="6" t="s">
        <v>17</v>
      </c>
      <c r="J31" s="6" t="s">
        <v>164</v>
      </c>
      <c r="K31" s="6" t="s">
        <v>10</v>
      </c>
      <c r="L31" s="4" t="s">
        <v>402</v>
      </c>
      <c r="M31" s="6" t="s">
        <v>228</v>
      </c>
    </row>
    <row r="32" spans="1:14" x14ac:dyDescent="0.25">
      <c r="A32" s="7" t="s">
        <v>43</v>
      </c>
      <c r="B32" s="7" t="s">
        <v>390</v>
      </c>
      <c r="C32" s="7" t="s">
        <v>13</v>
      </c>
      <c r="D32" s="7" t="s">
        <v>157</v>
      </c>
      <c r="E32" s="7" t="s">
        <v>404</v>
      </c>
      <c r="F32" s="7" t="s">
        <v>391</v>
      </c>
      <c r="G32" s="7" t="s">
        <v>392</v>
      </c>
      <c r="H32" s="7" t="s">
        <v>393</v>
      </c>
      <c r="I32" s="7" t="s">
        <v>162</v>
      </c>
      <c r="J32" s="7" t="s">
        <v>174</v>
      </c>
      <c r="K32" s="7" t="s">
        <v>10</v>
      </c>
      <c r="L32" s="4" t="s">
        <v>402</v>
      </c>
      <c r="M32" s="7" t="s">
        <v>229</v>
      </c>
    </row>
    <row r="33" spans="1:13" x14ac:dyDescent="0.25">
      <c r="A33" s="7" t="s">
        <v>394</v>
      </c>
      <c r="B33" s="7" t="s">
        <v>390</v>
      </c>
      <c r="C33" s="7" t="s">
        <v>13</v>
      </c>
      <c r="D33" s="7" t="s">
        <v>157</v>
      </c>
      <c r="E33" s="7" t="s">
        <v>404</v>
      </c>
      <c r="F33" s="7" t="s">
        <v>391</v>
      </c>
      <c r="G33" s="7" t="s">
        <v>392</v>
      </c>
      <c r="H33" s="7" t="s">
        <v>395</v>
      </c>
      <c r="I33" s="7" t="s">
        <v>162</v>
      </c>
      <c r="J33" s="7" t="s">
        <v>174</v>
      </c>
      <c r="K33" s="7" t="s">
        <v>10</v>
      </c>
      <c r="L33" s="4" t="s">
        <v>402</v>
      </c>
      <c r="M33" s="7" t="s">
        <v>229</v>
      </c>
    </row>
    <row r="34" spans="1:13" x14ac:dyDescent="0.25">
      <c r="A34" s="7" t="s">
        <v>396</v>
      </c>
      <c r="B34" s="7" t="s">
        <v>397</v>
      </c>
      <c r="C34" s="7" t="s">
        <v>13</v>
      </c>
      <c r="D34" s="7" t="s">
        <v>157</v>
      </c>
      <c r="E34" s="7" t="s">
        <v>411</v>
      </c>
      <c r="F34" s="7" t="s">
        <v>158</v>
      </c>
      <c r="G34" s="7" t="s">
        <v>392</v>
      </c>
      <c r="H34" s="7" t="s">
        <v>398</v>
      </c>
      <c r="I34" s="7" t="s">
        <v>17</v>
      </c>
      <c r="J34" s="7" t="s">
        <v>174</v>
      </c>
      <c r="K34" s="7" t="s">
        <v>10</v>
      </c>
      <c r="L34" s="4" t="s">
        <v>264</v>
      </c>
      <c r="M34" s="7" t="s">
        <v>229</v>
      </c>
    </row>
    <row r="35" spans="1:13" x14ac:dyDescent="0.25">
      <c r="A35" s="6" t="s">
        <v>399</v>
      </c>
      <c r="B35" s="6" t="s">
        <v>400</v>
      </c>
      <c r="C35" s="6" t="s">
        <v>13</v>
      </c>
      <c r="D35" s="6" t="s">
        <v>157</v>
      </c>
      <c r="E35" s="7" t="s">
        <v>404</v>
      </c>
      <c r="F35" s="6" t="s">
        <v>14</v>
      </c>
      <c r="G35" s="6" t="s">
        <v>30</v>
      </c>
      <c r="H35" s="6" t="s">
        <v>401</v>
      </c>
      <c r="I35" s="6" t="s">
        <v>17</v>
      </c>
      <c r="J35" s="6" t="s">
        <v>174</v>
      </c>
      <c r="K35" s="6" t="s">
        <v>10</v>
      </c>
      <c r="L35" s="4" t="s">
        <v>402</v>
      </c>
      <c r="M35" s="6" t="s">
        <v>232</v>
      </c>
    </row>
  </sheetData>
  <autoFilter ref="A3:N24">
    <sortState ref="A8:N21">
      <sortCondition ref="B3:B24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au 17.01 16h20 traitee</vt:lpstr>
      <vt:lpstr>cas problemes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Imbert, Fabrice</dc:creator>
  <cp:lastModifiedBy>Jessika Therrien</cp:lastModifiedBy>
  <cp:lastPrinted>2019-01-17T16:35:48Z</cp:lastPrinted>
  <dcterms:created xsi:type="dcterms:W3CDTF">2019-01-17T00:31:36Z</dcterms:created>
  <dcterms:modified xsi:type="dcterms:W3CDTF">2019-01-18T20:31:57Z</dcterms:modified>
</cp:coreProperties>
</file>