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herrien\Desktop\provincial\"/>
    </mc:Choice>
  </mc:AlternateContent>
  <bookViews>
    <workbookView xWindow="0" yWindow="0" windowWidth="20490" windowHeight="7755"/>
  </bookViews>
  <sheets>
    <sheet name="traitees 28 mars" sheetId="1" r:id="rId1"/>
    <sheet name="cas problèmes" sheetId="2" r:id="rId2"/>
  </sheets>
  <externalReferences>
    <externalReference r:id="rId3"/>
  </externalReferences>
  <definedNames>
    <definedName name="_xlnm._FilterDatabase" localSheetId="1" hidden="1">'cas problèmes'!$A$1:$AA$658</definedName>
    <definedName name="_xlnm._FilterDatabase" localSheetId="0" hidden="1">'traitees 28 mars'!$A$1:$AA$737</definedName>
    <definedName name="Sexe">[1]Feuil2!$A$1:$A$2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2" l="1"/>
  <c r="J57" i="2"/>
  <c r="I57" i="2"/>
  <c r="H57" i="2"/>
  <c r="G57" i="2"/>
  <c r="D57" i="2"/>
  <c r="C57" i="2"/>
  <c r="B57" i="2"/>
  <c r="A57" i="2"/>
  <c r="M56" i="2"/>
  <c r="K56" i="2"/>
  <c r="J56" i="2"/>
  <c r="I56" i="2"/>
  <c r="H56" i="2"/>
  <c r="G56" i="2"/>
  <c r="D56" i="2"/>
  <c r="C56" i="2"/>
  <c r="B56" i="2"/>
  <c r="A56" i="2"/>
  <c r="K55" i="2"/>
  <c r="J55" i="2"/>
  <c r="I55" i="2"/>
  <c r="H55" i="2"/>
  <c r="G55" i="2"/>
  <c r="D55" i="2"/>
  <c r="C55" i="2"/>
  <c r="B55" i="2"/>
  <c r="A55" i="2"/>
  <c r="K54" i="2"/>
  <c r="J54" i="2"/>
  <c r="I54" i="2"/>
  <c r="H54" i="2"/>
  <c r="G54" i="2"/>
  <c r="D54" i="2"/>
  <c r="C54" i="2"/>
  <c r="B54" i="2"/>
  <c r="A54" i="2"/>
  <c r="M52" i="2"/>
  <c r="K52" i="2"/>
  <c r="J52" i="2"/>
  <c r="I52" i="2"/>
  <c r="H52" i="2"/>
  <c r="D52" i="2"/>
  <c r="C52" i="2"/>
  <c r="B52" i="2"/>
  <c r="A52" i="2"/>
  <c r="M51" i="2"/>
  <c r="K51" i="2"/>
  <c r="J51" i="2"/>
  <c r="I51" i="2"/>
  <c r="H51" i="2"/>
  <c r="D51" i="2"/>
  <c r="C51" i="2"/>
  <c r="B51" i="2"/>
  <c r="A51" i="2"/>
  <c r="K50" i="2"/>
  <c r="J50" i="2"/>
  <c r="I50" i="2"/>
  <c r="H50" i="2"/>
  <c r="G50" i="2"/>
  <c r="D50" i="2"/>
  <c r="B50" i="2"/>
  <c r="A50" i="2"/>
  <c r="K49" i="2"/>
  <c r="J49" i="2"/>
  <c r="I49" i="2"/>
  <c r="H49" i="2"/>
  <c r="G49" i="2"/>
  <c r="D49" i="2"/>
  <c r="B49" i="2"/>
  <c r="A49" i="2"/>
  <c r="K48" i="2"/>
  <c r="J48" i="2"/>
  <c r="I48" i="2"/>
  <c r="H48" i="2"/>
  <c r="G48" i="2"/>
  <c r="D48" i="2"/>
  <c r="C48" i="2"/>
  <c r="B48" i="2"/>
  <c r="A48" i="2"/>
  <c r="K47" i="2"/>
  <c r="J47" i="2"/>
  <c r="I47" i="2"/>
  <c r="H47" i="2"/>
  <c r="G47" i="2"/>
  <c r="D47" i="2"/>
  <c r="C47" i="2"/>
  <c r="B47" i="2"/>
  <c r="A47" i="2"/>
  <c r="K46" i="2"/>
  <c r="J46" i="2"/>
  <c r="I46" i="2"/>
  <c r="H46" i="2"/>
  <c r="G46" i="2"/>
  <c r="D46" i="2"/>
  <c r="C46" i="2"/>
  <c r="B46" i="2"/>
  <c r="A46" i="2"/>
  <c r="K31" i="2"/>
  <c r="J31" i="2"/>
  <c r="I31" i="2"/>
  <c r="H31" i="2"/>
  <c r="G31" i="2"/>
  <c r="D31" i="2"/>
  <c r="C31" i="2"/>
  <c r="B31" i="2"/>
  <c r="A31" i="2"/>
  <c r="K27" i="2"/>
  <c r="J27" i="2"/>
  <c r="I27" i="2"/>
  <c r="H27" i="2"/>
  <c r="D27" i="2"/>
  <c r="C27" i="2"/>
  <c r="B27" i="2"/>
  <c r="A27" i="2"/>
  <c r="K11" i="2"/>
  <c r="J11" i="2"/>
  <c r="I11" i="2"/>
  <c r="H11" i="2"/>
  <c r="G11" i="2"/>
  <c r="D11" i="2"/>
  <c r="C11" i="2"/>
  <c r="B11" i="2"/>
  <c r="A11" i="2"/>
  <c r="K1" i="2"/>
  <c r="K737" i="1"/>
  <c r="J737" i="1"/>
  <c r="I737" i="1"/>
  <c r="H737" i="1"/>
  <c r="G737" i="1"/>
  <c r="D737" i="1"/>
  <c r="C737" i="1"/>
  <c r="B737" i="1"/>
  <c r="A737" i="1"/>
  <c r="K736" i="1"/>
  <c r="J736" i="1"/>
  <c r="H736" i="1"/>
  <c r="G736" i="1"/>
  <c r="D736" i="1"/>
  <c r="B736" i="1"/>
  <c r="A736" i="1"/>
  <c r="K735" i="1"/>
  <c r="J735" i="1"/>
  <c r="H735" i="1"/>
  <c r="G735" i="1"/>
  <c r="D735" i="1"/>
  <c r="B735" i="1"/>
  <c r="A735" i="1"/>
  <c r="K734" i="1"/>
  <c r="J734" i="1"/>
  <c r="I734" i="1"/>
  <c r="H734" i="1"/>
  <c r="G734" i="1"/>
  <c r="D734" i="1"/>
  <c r="C734" i="1"/>
  <c r="B734" i="1"/>
  <c r="A734" i="1"/>
  <c r="K733" i="1"/>
  <c r="J733" i="1"/>
  <c r="H733" i="1"/>
  <c r="G733" i="1"/>
  <c r="D733" i="1"/>
  <c r="B733" i="1"/>
  <c r="A733" i="1"/>
  <c r="M732" i="1"/>
  <c r="K732" i="1"/>
  <c r="J732" i="1"/>
  <c r="I732" i="1"/>
  <c r="H732" i="1"/>
  <c r="G732" i="1"/>
  <c r="D732" i="1"/>
  <c r="B732" i="1"/>
  <c r="A732" i="1"/>
  <c r="K730" i="1"/>
  <c r="J730" i="1"/>
  <c r="I730" i="1"/>
  <c r="H730" i="1"/>
  <c r="G730" i="1"/>
  <c r="D730" i="1"/>
  <c r="C730" i="1"/>
  <c r="B730" i="1"/>
  <c r="A730" i="1"/>
  <c r="K729" i="1"/>
  <c r="J729" i="1"/>
  <c r="I729" i="1"/>
  <c r="H729" i="1"/>
  <c r="G729" i="1"/>
  <c r="D729" i="1"/>
  <c r="C729" i="1"/>
  <c r="B729" i="1"/>
  <c r="A729" i="1"/>
  <c r="M728" i="1"/>
  <c r="K728" i="1"/>
  <c r="J728" i="1"/>
  <c r="I728" i="1"/>
  <c r="H728" i="1"/>
  <c r="D728" i="1"/>
  <c r="C728" i="1"/>
  <c r="B728" i="1"/>
  <c r="A728" i="1"/>
  <c r="K727" i="1"/>
  <c r="J727" i="1"/>
  <c r="I727" i="1"/>
  <c r="H727" i="1"/>
  <c r="G727" i="1"/>
  <c r="D727" i="1"/>
  <c r="B727" i="1"/>
  <c r="A727" i="1"/>
  <c r="K725" i="1"/>
  <c r="J725" i="1"/>
  <c r="I725" i="1"/>
  <c r="H725" i="1"/>
  <c r="G725" i="1"/>
  <c r="D725" i="1"/>
  <c r="C725" i="1"/>
  <c r="B725" i="1"/>
  <c r="A725" i="1"/>
  <c r="K724" i="1"/>
  <c r="J724" i="1"/>
  <c r="I724" i="1"/>
  <c r="H724" i="1"/>
  <c r="G724" i="1"/>
  <c r="D724" i="1"/>
  <c r="C724" i="1"/>
  <c r="B724" i="1"/>
  <c r="A724" i="1"/>
  <c r="K723" i="1"/>
  <c r="J723" i="1"/>
  <c r="I723" i="1"/>
  <c r="D723" i="1"/>
  <c r="C723" i="1"/>
  <c r="B723" i="1"/>
  <c r="A723" i="1"/>
  <c r="K722" i="1"/>
  <c r="J722" i="1"/>
  <c r="I722" i="1"/>
  <c r="H722" i="1"/>
  <c r="G722" i="1"/>
  <c r="D722" i="1"/>
  <c r="C722" i="1"/>
  <c r="B722" i="1"/>
  <c r="A722" i="1"/>
  <c r="K721" i="1"/>
  <c r="J721" i="1"/>
  <c r="I721" i="1"/>
  <c r="H721" i="1"/>
  <c r="G721" i="1"/>
  <c r="D721" i="1"/>
  <c r="C721" i="1"/>
  <c r="B721" i="1"/>
  <c r="A721" i="1"/>
  <c r="M720" i="1"/>
  <c r="K720" i="1"/>
  <c r="J720" i="1"/>
  <c r="I720" i="1"/>
  <c r="H720" i="1"/>
  <c r="G720" i="1"/>
  <c r="D720" i="1"/>
  <c r="C720" i="1"/>
  <c r="B720" i="1"/>
  <c r="A720" i="1"/>
  <c r="K719" i="1"/>
  <c r="J719" i="1"/>
  <c r="I719" i="1"/>
  <c r="H719" i="1"/>
  <c r="G719" i="1"/>
  <c r="D719" i="1"/>
  <c r="C719" i="1"/>
  <c r="B719" i="1"/>
  <c r="A719" i="1"/>
  <c r="K718" i="1"/>
  <c r="J718" i="1"/>
  <c r="I718" i="1"/>
  <c r="H718" i="1"/>
  <c r="G718" i="1"/>
  <c r="D718" i="1"/>
  <c r="C718" i="1"/>
  <c r="B718" i="1"/>
  <c r="A718" i="1"/>
  <c r="K717" i="1"/>
  <c r="J717" i="1"/>
  <c r="I717" i="1"/>
  <c r="H717" i="1"/>
  <c r="G717" i="1"/>
  <c r="D717" i="1"/>
  <c r="C717" i="1"/>
  <c r="B717" i="1"/>
  <c r="A717" i="1"/>
  <c r="M716" i="1"/>
  <c r="K716" i="1"/>
  <c r="J716" i="1"/>
  <c r="I716" i="1"/>
  <c r="H716" i="1"/>
  <c r="G716" i="1"/>
  <c r="D716" i="1"/>
  <c r="C716" i="1"/>
  <c r="B716" i="1"/>
  <c r="A716" i="1"/>
  <c r="K715" i="1"/>
  <c r="J715" i="1"/>
  <c r="I715" i="1"/>
  <c r="H715" i="1"/>
  <c r="G715" i="1"/>
  <c r="D715" i="1"/>
  <c r="C715" i="1"/>
  <c r="B715" i="1"/>
  <c r="A715" i="1"/>
  <c r="K714" i="1"/>
  <c r="J714" i="1"/>
  <c r="I714" i="1"/>
  <c r="H714" i="1"/>
  <c r="G714" i="1"/>
  <c r="D714" i="1"/>
  <c r="C714" i="1"/>
  <c r="B714" i="1"/>
  <c r="A714" i="1"/>
  <c r="M712" i="1"/>
  <c r="K712" i="1"/>
  <c r="J712" i="1"/>
  <c r="I712" i="1"/>
  <c r="H712" i="1"/>
  <c r="D712" i="1"/>
  <c r="C712" i="1"/>
  <c r="B712" i="1"/>
  <c r="A712" i="1"/>
  <c r="M711" i="1"/>
  <c r="K711" i="1"/>
  <c r="J711" i="1"/>
  <c r="I711" i="1"/>
  <c r="H711" i="1"/>
  <c r="D711" i="1"/>
  <c r="B711" i="1"/>
  <c r="A711" i="1"/>
  <c r="M710" i="1"/>
  <c r="K710" i="1"/>
  <c r="J710" i="1"/>
  <c r="I710" i="1"/>
  <c r="H710" i="1"/>
  <c r="G710" i="1"/>
  <c r="D710" i="1"/>
  <c r="C710" i="1"/>
  <c r="B710" i="1"/>
  <c r="A710" i="1"/>
  <c r="K709" i="1"/>
  <c r="J709" i="1"/>
  <c r="I709" i="1"/>
  <c r="H709" i="1"/>
  <c r="G709" i="1"/>
  <c r="D709" i="1"/>
  <c r="C709" i="1"/>
  <c r="B709" i="1"/>
  <c r="A709" i="1"/>
  <c r="K708" i="1"/>
  <c r="J708" i="1"/>
  <c r="I708" i="1"/>
  <c r="H708" i="1"/>
  <c r="G708" i="1"/>
  <c r="D708" i="1"/>
  <c r="C708" i="1"/>
  <c r="B708" i="1"/>
  <c r="A708" i="1"/>
  <c r="M707" i="1"/>
  <c r="K707" i="1"/>
  <c r="J707" i="1"/>
  <c r="I707" i="1"/>
  <c r="H707" i="1"/>
  <c r="D707" i="1"/>
  <c r="C707" i="1"/>
  <c r="B707" i="1"/>
  <c r="A707" i="1"/>
  <c r="M706" i="1"/>
  <c r="K706" i="1"/>
  <c r="J706" i="1"/>
  <c r="I706" i="1"/>
  <c r="H706" i="1"/>
  <c r="G706" i="1"/>
  <c r="D706" i="1"/>
  <c r="C706" i="1"/>
  <c r="B706" i="1"/>
  <c r="A706" i="1"/>
  <c r="K705" i="1"/>
  <c r="J705" i="1"/>
  <c r="I705" i="1"/>
  <c r="H705" i="1"/>
  <c r="G705" i="1"/>
  <c r="D705" i="1"/>
  <c r="C705" i="1"/>
  <c r="B705" i="1"/>
  <c r="A705" i="1"/>
  <c r="H704" i="1"/>
  <c r="K703" i="1"/>
  <c r="J703" i="1"/>
  <c r="I703" i="1"/>
  <c r="H703" i="1"/>
  <c r="G703" i="1"/>
  <c r="D703" i="1"/>
  <c r="C703" i="1"/>
  <c r="B703" i="1"/>
  <c r="A703" i="1"/>
  <c r="M702" i="1"/>
  <c r="K702" i="1"/>
  <c r="J702" i="1"/>
  <c r="I702" i="1"/>
  <c r="H702" i="1"/>
  <c r="D702" i="1"/>
  <c r="B702" i="1"/>
  <c r="A702" i="1"/>
  <c r="M701" i="1"/>
  <c r="K701" i="1"/>
  <c r="J701" i="1"/>
  <c r="I701" i="1"/>
  <c r="H701" i="1"/>
  <c r="G701" i="1"/>
  <c r="D701" i="1"/>
  <c r="C701" i="1"/>
  <c r="B701" i="1"/>
  <c r="A701" i="1"/>
  <c r="K700" i="1"/>
  <c r="J700" i="1"/>
  <c r="I700" i="1"/>
  <c r="H700" i="1"/>
  <c r="G700" i="1"/>
  <c r="D700" i="1"/>
  <c r="C700" i="1"/>
  <c r="B700" i="1"/>
  <c r="A700" i="1"/>
  <c r="K699" i="1"/>
  <c r="J699" i="1"/>
  <c r="I699" i="1"/>
  <c r="H699" i="1"/>
  <c r="G699" i="1"/>
  <c r="D699" i="1"/>
  <c r="C699" i="1"/>
  <c r="B699" i="1"/>
  <c r="A699" i="1"/>
  <c r="K698" i="1"/>
  <c r="J698" i="1"/>
  <c r="I698" i="1"/>
  <c r="H698" i="1"/>
  <c r="G698" i="1"/>
  <c r="D698" i="1"/>
  <c r="B698" i="1"/>
  <c r="A698" i="1"/>
  <c r="M697" i="1"/>
  <c r="K697" i="1"/>
  <c r="J697" i="1"/>
  <c r="I697" i="1"/>
  <c r="H697" i="1"/>
  <c r="G697" i="1"/>
  <c r="D697" i="1"/>
  <c r="C697" i="1"/>
  <c r="B697" i="1"/>
  <c r="A697" i="1"/>
  <c r="M696" i="1"/>
  <c r="K696" i="1"/>
  <c r="J696" i="1"/>
  <c r="I696" i="1"/>
  <c r="H696" i="1"/>
  <c r="G696" i="1"/>
  <c r="D696" i="1"/>
  <c r="C696" i="1"/>
  <c r="B696" i="1"/>
  <c r="A696" i="1"/>
  <c r="K695" i="1"/>
  <c r="J695" i="1"/>
  <c r="I695" i="1"/>
  <c r="H695" i="1"/>
  <c r="G695" i="1"/>
  <c r="D695" i="1"/>
  <c r="C695" i="1"/>
  <c r="B695" i="1"/>
  <c r="A695" i="1"/>
  <c r="M694" i="1"/>
  <c r="K694" i="1"/>
  <c r="J694" i="1"/>
  <c r="I694" i="1"/>
  <c r="H694" i="1"/>
  <c r="D694" i="1"/>
  <c r="C694" i="1"/>
  <c r="B694" i="1"/>
  <c r="A694" i="1"/>
  <c r="K693" i="1"/>
  <c r="J693" i="1"/>
  <c r="I693" i="1"/>
  <c r="H693" i="1"/>
  <c r="G693" i="1"/>
  <c r="D693" i="1"/>
  <c r="C693" i="1"/>
  <c r="B693" i="1"/>
  <c r="A693" i="1"/>
  <c r="K692" i="1"/>
  <c r="J692" i="1"/>
  <c r="I692" i="1"/>
  <c r="H692" i="1"/>
  <c r="G692" i="1"/>
  <c r="D692" i="1"/>
  <c r="C692" i="1"/>
  <c r="B692" i="1"/>
  <c r="A692" i="1"/>
  <c r="K691" i="1"/>
  <c r="J691" i="1"/>
  <c r="I691" i="1"/>
  <c r="H691" i="1"/>
  <c r="G691" i="1"/>
  <c r="D691" i="1"/>
  <c r="C691" i="1"/>
  <c r="B691" i="1"/>
  <c r="A691" i="1"/>
  <c r="K690" i="1"/>
  <c r="J690" i="1"/>
  <c r="I690" i="1"/>
  <c r="H690" i="1"/>
  <c r="G690" i="1"/>
  <c r="D690" i="1"/>
  <c r="C690" i="1"/>
  <c r="B690" i="1"/>
  <c r="A690" i="1"/>
  <c r="K689" i="1"/>
  <c r="J689" i="1"/>
  <c r="I689" i="1"/>
  <c r="H689" i="1"/>
  <c r="G689" i="1"/>
  <c r="D689" i="1"/>
  <c r="C689" i="1"/>
  <c r="B689" i="1"/>
  <c r="A689" i="1"/>
  <c r="K688" i="1"/>
  <c r="J688" i="1"/>
  <c r="I688" i="1"/>
  <c r="H688" i="1"/>
  <c r="G688" i="1"/>
  <c r="D688" i="1"/>
  <c r="C688" i="1"/>
  <c r="B688" i="1"/>
  <c r="A688" i="1"/>
  <c r="K684" i="1"/>
  <c r="J684" i="1"/>
  <c r="I684" i="1"/>
  <c r="H684" i="1"/>
  <c r="G684" i="1"/>
  <c r="D684" i="1"/>
  <c r="C684" i="1"/>
  <c r="B684" i="1"/>
  <c r="A684" i="1"/>
  <c r="M682" i="1"/>
  <c r="K682" i="1"/>
  <c r="J682" i="1"/>
  <c r="I682" i="1"/>
  <c r="H682" i="1"/>
  <c r="G682" i="1"/>
  <c r="D682" i="1"/>
  <c r="B682" i="1"/>
  <c r="A682" i="1"/>
  <c r="M681" i="1"/>
  <c r="K680" i="1"/>
  <c r="J680" i="1"/>
  <c r="I680" i="1"/>
  <c r="H680" i="1"/>
  <c r="G680" i="1"/>
  <c r="D680" i="1"/>
  <c r="C680" i="1"/>
  <c r="B680" i="1"/>
  <c r="A680" i="1"/>
  <c r="K679" i="1"/>
  <c r="J679" i="1"/>
  <c r="I679" i="1"/>
  <c r="H679" i="1"/>
  <c r="G679" i="1"/>
  <c r="D679" i="1"/>
  <c r="B679" i="1"/>
  <c r="A679" i="1"/>
  <c r="K678" i="1"/>
  <c r="J678" i="1"/>
  <c r="I678" i="1"/>
  <c r="H678" i="1"/>
  <c r="G678" i="1"/>
  <c r="D678" i="1"/>
  <c r="C678" i="1"/>
  <c r="B678" i="1"/>
  <c r="A678" i="1"/>
  <c r="M677" i="1"/>
  <c r="K677" i="1"/>
  <c r="J677" i="1"/>
  <c r="I677" i="1"/>
  <c r="H677" i="1"/>
  <c r="D677" i="1"/>
  <c r="C677" i="1"/>
  <c r="B677" i="1"/>
  <c r="A677" i="1"/>
  <c r="M676" i="1"/>
  <c r="K676" i="1"/>
  <c r="J676" i="1"/>
  <c r="I676" i="1"/>
  <c r="H676" i="1"/>
  <c r="G676" i="1"/>
  <c r="D676" i="1"/>
  <c r="C676" i="1"/>
  <c r="B676" i="1"/>
  <c r="A676" i="1"/>
  <c r="M675" i="1"/>
  <c r="K675" i="1"/>
  <c r="J675" i="1"/>
  <c r="I675" i="1"/>
  <c r="H675" i="1"/>
  <c r="G675" i="1"/>
  <c r="D675" i="1"/>
  <c r="C675" i="1"/>
  <c r="B675" i="1"/>
  <c r="A675" i="1"/>
  <c r="K674" i="1"/>
  <c r="J674" i="1"/>
  <c r="I674" i="1"/>
  <c r="H674" i="1"/>
  <c r="G674" i="1"/>
  <c r="D674" i="1"/>
  <c r="C674" i="1"/>
  <c r="B674" i="1"/>
  <c r="A674" i="1"/>
  <c r="K673" i="1"/>
  <c r="J673" i="1"/>
  <c r="I673" i="1"/>
  <c r="H673" i="1"/>
  <c r="G673" i="1"/>
  <c r="D673" i="1"/>
  <c r="C673" i="1"/>
  <c r="B673" i="1"/>
  <c r="A673" i="1"/>
  <c r="M672" i="1"/>
  <c r="K672" i="1"/>
  <c r="J672" i="1"/>
  <c r="I672" i="1"/>
  <c r="H672" i="1"/>
  <c r="G672" i="1"/>
  <c r="D672" i="1"/>
  <c r="C672" i="1"/>
  <c r="B672" i="1"/>
  <c r="A672" i="1"/>
  <c r="K671" i="1"/>
  <c r="J671" i="1"/>
  <c r="I671" i="1"/>
  <c r="H671" i="1"/>
  <c r="G671" i="1"/>
  <c r="D671" i="1"/>
  <c r="C671" i="1"/>
  <c r="B671" i="1"/>
  <c r="A671" i="1"/>
  <c r="K670" i="1"/>
  <c r="J670" i="1"/>
  <c r="I670" i="1"/>
  <c r="H670" i="1"/>
  <c r="G670" i="1"/>
  <c r="D670" i="1"/>
  <c r="C670" i="1"/>
  <c r="B670" i="1"/>
  <c r="A670" i="1"/>
  <c r="K669" i="1"/>
  <c r="J669" i="1"/>
  <c r="I669" i="1"/>
  <c r="H669" i="1"/>
  <c r="G669" i="1"/>
  <c r="D669" i="1"/>
  <c r="C669" i="1"/>
  <c r="B669" i="1"/>
  <c r="A669" i="1"/>
  <c r="K668" i="1"/>
  <c r="J668" i="1"/>
  <c r="I668" i="1"/>
  <c r="H668" i="1"/>
  <c r="D668" i="1"/>
  <c r="C668" i="1"/>
  <c r="B668" i="1"/>
  <c r="A668" i="1"/>
  <c r="K667" i="1"/>
  <c r="J667" i="1"/>
  <c r="I667" i="1"/>
  <c r="H667" i="1"/>
  <c r="G667" i="1"/>
  <c r="D667" i="1"/>
  <c r="C667" i="1"/>
  <c r="B667" i="1"/>
  <c r="A667" i="1"/>
  <c r="K666" i="1"/>
  <c r="J666" i="1"/>
  <c r="I666" i="1"/>
  <c r="H666" i="1"/>
  <c r="G666" i="1"/>
  <c r="D666" i="1"/>
  <c r="C666" i="1"/>
  <c r="B666" i="1"/>
  <c r="A666" i="1"/>
  <c r="M665" i="1"/>
  <c r="K665" i="1"/>
  <c r="J665" i="1"/>
  <c r="I665" i="1"/>
  <c r="H665" i="1"/>
  <c r="D665" i="1"/>
  <c r="C665" i="1"/>
  <c r="B665" i="1"/>
  <c r="A665" i="1"/>
  <c r="K664" i="1"/>
  <c r="J664" i="1"/>
  <c r="I664" i="1"/>
  <c r="H664" i="1"/>
  <c r="G664" i="1"/>
  <c r="D664" i="1"/>
  <c r="C664" i="1"/>
  <c r="B664" i="1"/>
  <c r="A664" i="1"/>
  <c r="M663" i="1"/>
  <c r="K663" i="1"/>
  <c r="J663" i="1"/>
  <c r="I663" i="1"/>
  <c r="H663" i="1"/>
  <c r="D663" i="1"/>
  <c r="C663" i="1"/>
  <c r="B663" i="1"/>
  <c r="A663" i="1"/>
  <c r="K661" i="1"/>
  <c r="J661" i="1"/>
  <c r="I661" i="1"/>
  <c r="H661" i="1"/>
  <c r="G661" i="1"/>
  <c r="D661" i="1"/>
  <c r="B661" i="1"/>
  <c r="A661" i="1"/>
  <c r="M659" i="1"/>
  <c r="K659" i="1"/>
  <c r="J659" i="1"/>
  <c r="I659" i="1"/>
  <c r="H659" i="1"/>
  <c r="D659" i="1"/>
  <c r="C659" i="1"/>
  <c r="B659" i="1"/>
  <c r="A659" i="1"/>
  <c r="K658" i="1"/>
  <c r="J658" i="1"/>
  <c r="I658" i="1"/>
  <c r="H658" i="1"/>
  <c r="G658" i="1"/>
  <c r="D658" i="1"/>
  <c r="C658" i="1"/>
  <c r="B658" i="1"/>
  <c r="A658" i="1"/>
  <c r="K657" i="1"/>
  <c r="J657" i="1"/>
  <c r="I657" i="1"/>
  <c r="H657" i="1"/>
  <c r="D657" i="1"/>
  <c r="C657" i="1"/>
  <c r="B657" i="1"/>
  <c r="A657" i="1"/>
  <c r="K656" i="1"/>
  <c r="J656" i="1"/>
  <c r="I656" i="1"/>
  <c r="H656" i="1"/>
  <c r="G656" i="1"/>
  <c r="D656" i="1"/>
  <c r="C656" i="1"/>
  <c r="B656" i="1"/>
  <c r="A656" i="1"/>
  <c r="K655" i="1"/>
  <c r="J655" i="1"/>
  <c r="I655" i="1"/>
  <c r="H655" i="1"/>
  <c r="G655" i="1"/>
  <c r="D655" i="1"/>
  <c r="C655" i="1"/>
  <c r="B655" i="1"/>
  <c r="A655" i="1"/>
  <c r="K654" i="1"/>
  <c r="J654" i="1"/>
  <c r="I654" i="1"/>
  <c r="H654" i="1"/>
  <c r="G654" i="1"/>
  <c r="D654" i="1"/>
  <c r="C654" i="1"/>
  <c r="B654" i="1"/>
  <c r="A654" i="1"/>
  <c r="K653" i="1"/>
  <c r="J653" i="1"/>
  <c r="I653" i="1"/>
  <c r="H653" i="1"/>
  <c r="G653" i="1"/>
  <c r="D653" i="1"/>
  <c r="C653" i="1"/>
  <c r="B653" i="1"/>
  <c r="A653" i="1"/>
  <c r="M652" i="1"/>
  <c r="K652" i="1"/>
  <c r="J652" i="1"/>
  <c r="I652" i="1"/>
  <c r="H652" i="1"/>
  <c r="G652" i="1"/>
  <c r="D652" i="1"/>
  <c r="C652" i="1"/>
  <c r="B652" i="1"/>
  <c r="A652" i="1"/>
  <c r="K651" i="1"/>
  <c r="J651" i="1"/>
  <c r="I651" i="1"/>
  <c r="H651" i="1"/>
  <c r="D651" i="1"/>
  <c r="C651" i="1"/>
  <c r="B651" i="1"/>
  <c r="A651" i="1"/>
  <c r="K650" i="1"/>
  <c r="J650" i="1"/>
  <c r="I650" i="1"/>
  <c r="H650" i="1"/>
  <c r="G650" i="1"/>
  <c r="D650" i="1"/>
  <c r="C650" i="1"/>
  <c r="B650" i="1"/>
  <c r="A650" i="1"/>
  <c r="K649" i="1"/>
  <c r="J649" i="1"/>
  <c r="I649" i="1"/>
  <c r="H649" i="1"/>
  <c r="D649" i="1"/>
  <c r="C649" i="1"/>
  <c r="B649" i="1"/>
  <c r="A649" i="1"/>
  <c r="M648" i="1"/>
  <c r="K648" i="1"/>
  <c r="J648" i="1"/>
  <c r="I648" i="1"/>
  <c r="H648" i="1"/>
  <c r="D648" i="1"/>
  <c r="C648" i="1"/>
  <c r="B648" i="1"/>
  <c r="A648" i="1"/>
  <c r="K646" i="1"/>
  <c r="J646" i="1"/>
  <c r="I646" i="1"/>
  <c r="H646" i="1"/>
  <c r="G646" i="1"/>
  <c r="D646" i="1"/>
  <c r="C646" i="1"/>
  <c r="B646" i="1"/>
  <c r="A646" i="1"/>
  <c r="K645" i="1"/>
  <c r="J645" i="1"/>
  <c r="I645" i="1"/>
  <c r="H645" i="1"/>
  <c r="G645" i="1"/>
  <c r="D645" i="1"/>
  <c r="C645" i="1"/>
  <c r="B645" i="1"/>
  <c r="A645" i="1"/>
  <c r="K644" i="1"/>
  <c r="J644" i="1"/>
  <c r="I644" i="1"/>
  <c r="H644" i="1"/>
  <c r="G644" i="1"/>
  <c r="D644" i="1"/>
  <c r="C644" i="1"/>
  <c r="B644" i="1"/>
  <c r="A644" i="1"/>
  <c r="M643" i="1"/>
  <c r="K643" i="1"/>
  <c r="J643" i="1"/>
  <c r="I643" i="1"/>
  <c r="H643" i="1"/>
  <c r="D643" i="1"/>
  <c r="C643" i="1"/>
  <c r="B643" i="1"/>
  <c r="A643" i="1"/>
  <c r="K642" i="1"/>
  <c r="J642" i="1"/>
  <c r="I642" i="1"/>
  <c r="H642" i="1"/>
  <c r="G642" i="1"/>
  <c r="D642" i="1"/>
  <c r="C642" i="1"/>
  <c r="B642" i="1"/>
  <c r="A642" i="1"/>
  <c r="M641" i="1"/>
  <c r="K641" i="1"/>
  <c r="J641" i="1"/>
  <c r="I641" i="1"/>
  <c r="H641" i="1"/>
  <c r="D641" i="1"/>
  <c r="C641" i="1"/>
  <c r="B641" i="1"/>
  <c r="A641" i="1"/>
  <c r="M640" i="1"/>
  <c r="K640" i="1"/>
  <c r="J640" i="1"/>
  <c r="I640" i="1"/>
  <c r="H640" i="1"/>
  <c r="G640" i="1"/>
  <c r="D640" i="1"/>
  <c r="C640" i="1"/>
  <c r="B640" i="1"/>
  <c r="A640" i="1"/>
  <c r="K639" i="1"/>
  <c r="J639" i="1"/>
  <c r="I639" i="1"/>
  <c r="H639" i="1"/>
  <c r="G639" i="1"/>
  <c r="D639" i="1"/>
  <c r="C639" i="1"/>
  <c r="B639" i="1"/>
  <c r="A639" i="1"/>
  <c r="M638" i="1"/>
  <c r="K638" i="1"/>
  <c r="J638" i="1"/>
  <c r="I638" i="1"/>
  <c r="H638" i="1"/>
  <c r="D638" i="1"/>
  <c r="C638" i="1"/>
  <c r="B638" i="1"/>
  <c r="A638" i="1"/>
  <c r="K637" i="1"/>
  <c r="J637" i="1"/>
  <c r="I637" i="1"/>
  <c r="H637" i="1"/>
  <c r="G637" i="1"/>
  <c r="D637" i="1"/>
  <c r="C637" i="1"/>
  <c r="B637" i="1"/>
  <c r="A637" i="1"/>
  <c r="K636" i="1"/>
  <c r="J636" i="1"/>
  <c r="I636" i="1"/>
  <c r="H636" i="1"/>
  <c r="G636" i="1"/>
  <c r="D636" i="1"/>
  <c r="C636" i="1"/>
  <c r="B636" i="1"/>
  <c r="A636" i="1"/>
  <c r="K635" i="1"/>
  <c r="J635" i="1"/>
  <c r="I635" i="1"/>
  <c r="H635" i="1"/>
  <c r="G635" i="1"/>
  <c r="D635" i="1"/>
  <c r="C635" i="1"/>
  <c r="B635" i="1"/>
  <c r="A635" i="1"/>
  <c r="M634" i="1"/>
  <c r="K634" i="1"/>
  <c r="J634" i="1"/>
  <c r="I634" i="1"/>
  <c r="G634" i="1"/>
  <c r="D634" i="1"/>
  <c r="C634" i="1"/>
  <c r="B634" i="1"/>
  <c r="A634" i="1"/>
  <c r="K633" i="1"/>
  <c r="J633" i="1"/>
  <c r="I633" i="1"/>
  <c r="H633" i="1"/>
  <c r="G633" i="1"/>
  <c r="D633" i="1"/>
  <c r="C633" i="1"/>
  <c r="B633" i="1"/>
  <c r="A633" i="1"/>
  <c r="K632" i="1"/>
  <c r="J632" i="1"/>
  <c r="I632" i="1"/>
  <c r="H632" i="1"/>
  <c r="G632" i="1"/>
  <c r="D632" i="1"/>
  <c r="C632" i="1"/>
  <c r="B632" i="1"/>
  <c r="A632" i="1"/>
  <c r="K630" i="1"/>
  <c r="J630" i="1"/>
  <c r="I630" i="1"/>
  <c r="H630" i="1"/>
  <c r="G630" i="1"/>
  <c r="D630" i="1"/>
  <c r="C630" i="1"/>
  <c r="B630" i="1"/>
  <c r="A630" i="1"/>
  <c r="K629" i="1"/>
  <c r="J629" i="1"/>
  <c r="I629" i="1"/>
  <c r="H629" i="1"/>
  <c r="G629" i="1"/>
  <c r="D629" i="1"/>
  <c r="C629" i="1"/>
  <c r="B629" i="1"/>
  <c r="A629" i="1"/>
  <c r="K628" i="1"/>
  <c r="J628" i="1"/>
  <c r="I628" i="1"/>
  <c r="H628" i="1"/>
  <c r="G628" i="1"/>
  <c r="D628" i="1"/>
  <c r="C628" i="1"/>
  <c r="B628" i="1"/>
  <c r="A628" i="1"/>
  <c r="K625" i="1"/>
  <c r="J625" i="1"/>
  <c r="I625" i="1"/>
  <c r="H625" i="1"/>
  <c r="G625" i="1"/>
  <c r="D625" i="1"/>
  <c r="C625" i="1"/>
  <c r="B625" i="1"/>
  <c r="A625" i="1"/>
  <c r="M624" i="1"/>
  <c r="K624" i="1"/>
  <c r="J624" i="1"/>
  <c r="I624" i="1"/>
  <c r="H624" i="1"/>
  <c r="G624" i="1"/>
  <c r="D624" i="1"/>
  <c r="C624" i="1"/>
  <c r="B624" i="1"/>
  <c r="A624" i="1"/>
  <c r="M623" i="1"/>
  <c r="K623" i="1"/>
  <c r="J623" i="1"/>
  <c r="I623" i="1"/>
  <c r="H623" i="1"/>
  <c r="G623" i="1"/>
  <c r="D623" i="1"/>
  <c r="C623" i="1"/>
  <c r="B623" i="1"/>
  <c r="A623" i="1"/>
  <c r="K622" i="1"/>
  <c r="J622" i="1"/>
  <c r="I622" i="1"/>
  <c r="H622" i="1"/>
  <c r="G622" i="1"/>
  <c r="D622" i="1"/>
  <c r="C622" i="1"/>
  <c r="B622" i="1"/>
  <c r="A622" i="1"/>
  <c r="K621" i="1"/>
  <c r="J621" i="1"/>
  <c r="I621" i="1"/>
  <c r="H621" i="1"/>
  <c r="G621" i="1"/>
  <c r="D621" i="1"/>
  <c r="C621" i="1"/>
  <c r="B621" i="1"/>
  <c r="A621" i="1"/>
  <c r="K620" i="1"/>
  <c r="J620" i="1"/>
  <c r="I620" i="1"/>
  <c r="H620" i="1"/>
  <c r="G620" i="1"/>
  <c r="D620" i="1"/>
  <c r="C620" i="1"/>
  <c r="B620" i="1"/>
  <c r="A620" i="1"/>
  <c r="K619" i="1"/>
  <c r="J619" i="1"/>
  <c r="I619" i="1"/>
  <c r="H619" i="1"/>
  <c r="G619" i="1"/>
  <c r="D619" i="1"/>
  <c r="C619" i="1"/>
  <c r="B619" i="1"/>
  <c r="A619" i="1"/>
  <c r="K618" i="1"/>
  <c r="J618" i="1"/>
  <c r="I618" i="1"/>
  <c r="H618" i="1"/>
  <c r="G618" i="1"/>
  <c r="D618" i="1"/>
  <c r="C618" i="1"/>
  <c r="B618" i="1"/>
  <c r="A618" i="1"/>
  <c r="M616" i="1"/>
  <c r="K616" i="1"/>
  <c r="J616" i="1"/>
  <c r="I616" i="1"/>
  <c r="H616" i="1"/>
  <c r="D616" i="1"/>
  <c r="C616" i="1"/>
  <c r="B616" i="1"/>
  <c r="A616" i="1"/>
  <c r="M615" i="1"/>
  <c r="K615" i="1"/>
  <c r="J615" i="1"/>
  <c r="I615" i="1"/>
  <c r="H615" i="1"/>
  <c r="D615" i="1"/>
  <c r="C615" i="1"/>
  <c r="B615" i="1"/>
  <c r="A615" i="1"/>
  <c r="M614" i="1"/>
  <c r="K614" i="1"/>
  <c r="J614" i="1"/>
  <c r="I614" i="1"/>
  <c r="H614" i="1"/>
  <c r="D614" i="1"/>
  <c r="B614" i="1"/>
  <c r="A614" i="1"/>
  <c r="K613" i="1"/>
  <c r="J613" i="1"/>
  <c r="I613" i="1"/>
  <c r="H613" i="1"/>
  <c r="G613" i="1"/>
  <c r="D613" i="1"/>
  <c r="C613" i="1"/>
  <c r="B613" i="1"/>
  <c r="A613" i="1"/>
  <c r="M612" i="1"/>
  <c r="K612" i="1"/>
  <c r="J612" i="1"/>
  <c r="I612" i="1"/>
  <c r="H612" i="1"/>
  <c r="G612" i="1"/>
  <c r="D612" i="1"/>
  <c r="C612" i="1"/>
  <c r="B612" i="1"/>
  <c r="A612" i="1"/>
  <c r="M611" i="1"/>
  <c r="K611" i="1"/>
  <c r="J611" i="1"/>
  <c r="I611" i="1"/>
  <c r="H611" i="1"/>
  <c r="G611" i="1"/>
  <c r="D611" i="1"/>
  <c r="C611" i="1"/>
  <c r="B611" i="1"/>
  <c r="A611" i="1"/>
  <c r="M610" i="1"/>
  <c r="K610" i="1"/>
  <c r="J610" i="1"/>
  <c r="I610" i="1"/>
  <c r="H610" i="1"/>
  <c r="G610" i="1"/>
  <c r="D610" i="1"/>
  <c r="C610" i="1"/>
  <c r="B610" i="1"/>
  <c r="A610" i="1"/>
  <c r="M609" i="1"/>
  <c r="K609" i="1"/>
  <c r="J609" i="1"/>
  <c r="I609" i="1"/>
  <c r="H609" i="1"/>
  <c r="G609" i="1"/>
  <c r="D609" i="1"/>
  <c r="C609" i="1"/>
  <c r="B609" i="1"/>
  <c r="A609" i="1"/>
  <c r="K607" i="1"/>
  <c r="J607" i="1"/>
  <c r="I607" i="1"/>
  <c r="H607" i="1"/>
  <c r="G607" i="1"/>
  <c r="D607" i="1"/>
  <c r="C607" i="1"/>
  <c r="B607" i="1"/>
  <c r="A607" i="1"/>
  <c r="M606" i="1"/>
  <c r="K606" i="1"/>
  <c r="J606" i="1"/>
  <c r="I606" i="1"/>
  <c r="H606" i="1"/>
  <c r="G606" i="1"/>
  <c r="D606" i="1"/>
  <c r="C606" i="1"/>
  <c r="B606" i="1"/>
  <c r="A606" i="1"/>
  <c r="M605" i="1"/>
  <c r="K605" i="1"/>
  <c r="J605" i="1"/>
  <c r="I605" i="1"/>
  <c r="H605" i="1"/>
  <c r="D605" i="1"/>
  <c r="C605" i="1"/>
  <c r="B605" i="1"/>
  <c r="A605" i="1"/>
  <c r="M604" i="1"/>
  <c r="K604" i="1"/>
  <c r="J604" i="1"/>
  <c r="I604" i="1"/>
  <c r="H604" i="1"/>
  <c r="G604" i="1"/>
  <c r="D604" i="1"/>
  <c r="C604" i="1"/>
  <c r="B604" i="1"/>
  <c r="A604" i="1"/>
  <c r="K603" i="1"/>
  <c r="J603" i="1"/>
  <c r="I603" i="1"/>
  <c r="H603" i="1"/>
  <c r="G603" i="1"/>
  <c r="D603" i="1"/>
  <c r="C603" i="1"/>
  <c r="B603" i="1"/>
  <c r="A603" i="1"/>
  <c r="K602" i="1"/>
  <c r="J602" i="1"/>
  <c r="I602" i="1"/>
  <c r="H602" i="1"/>
  <c r="G602" i="1"/>
  <c r="D602" i="1"/>
  <c r="C602" i="1"/>
  <c r="B602" i="1"/>
  <c r="A602" i="1"/>
  <c r="M601" i="1"/>
  <c r="K601" i="1"/>
  <c r="J601" i="1"/>
  <c r="I601" i="1"/>
  <c r="H601" i="1"/>
  <c r="D601" i="1"/>
  <c r="C601" i="1"/>
  <c r="B601" i="1"/>
  <c r="A601" i="1"/>
  <c r="K600" i="1"/>
  <c r="J600" i="1"/>
  <c r="I600" i="1"/>
  <c r="H600" i="1"/>
  <c r="G600" i="1"/>
  <c r="D600" i="1"/>
  <c r="C600" i="1"/>
  <c r="B600" i="1"/>
  <c r="A600" i="1"/>
  <c r="K599" i="1"/>
  <c r="J599" i="1"/>
  <c r="I599" i="1"/>
  <c r="H599" i="1"/>
  <c r="G599" i="1"/>
  <c r="D599" i="1"/>
  <c r="C599" i="1"/>
  <c r="B599" i="1"/>
  <c r="A599" i="1"/>
  <c r="K598" i="1"/>
  <c r="J598" i="1"/>
  <c r="I598" i="1"/>
  <c r="H598" i="1"/>
  <c r="G598" i="1"/>
  <c r="D598" i="1"/>
  <c r="C598" i="1"/>
  <c r="B598" i="1"/>
  <c r="A598" i="1"/>
  <c r="M596" i="1"/>
  <c r="K596" i="1"/>
  <c r="J596" i="1"/>
  <c r="I596" i="1"/>
  <c r="H596" i="1"/>
  <c r="D596" i="1"/>
  <c r="C596" i="1"/>
  <c r="B596" i="1"/>
  <c r="A596" i="1"/>
  <c r="M595" i="1"/>
  <c r="K595" i="1"/>
  <c r="J595" i="1"/>
  <c r="I595" i="1"/>
  <c r="H595" i="1"/>
  <c r="D595" i="1"/>
  <c r="C595" i="1"/>
  <c r="B595" i="1"/>
  <c r="A595" i="1"/>
  <c r="K594" i="1"/>
  <c r="J594" i="1"/>
  <c r="I594" i="1"/>
  <c r="H594" i="1"/>
  <c r="G594" i="1"/>
  <c r="D594" i="1"/>
  <c r="C594" i="1"/>
  <c r="B594" i="1"/>
  <c r="A594" i="1"/>
  <c r="M593" i="1"/>
  <c r="K593" i="1"/>
  <c r="J593" i="1"/>
  <c r="I593" i="1"/>
  <c r="H593" i="1"/>
  <c r="G593" i="1"/>
  <c r="D593" i="1"/>
  <c r="C593" i="1"/>
  <c r="B593" i="1"/>
  <c r="A593" i="1"/>
  <c r="K592" i="1"/>
  <c r="J592" i="1"/>
  <c r="I592" i="1"/>
  <c r="H592" i="1"/>
  <c r="G592" i="1"/>
  <c r="D592" i="1"/>
  <c r="C592" i="1"/>
  <c r="B592" i="1"/>
  <c r="A592" i="1"/>
  <c r="K591" i="1"/>
  <c r="J591" i="1"/>
  <c r="I591" i="1"/>
  <c r="H591" i="1"/>
  <c r="G591" i="1"/>
  <c r="D591" i="1"/>
  <c r="C591" i="1"/>
  <c r="B591" i="1"/>
  <c r="A591" i="1"/>
  <c r="K590" i="1"/>
  <c r="J590" i="1"/>
  <c r="I590" i="1"/>
  <c r="H590" i="1"/>
  <c r="G590" i="1"/>
  <c r="D590" i="1"/>
  <c r="C590" i="1"/>
  <c r="B590" i="1"/>
  <c r="A590" i="1"/>
  <c r="K589" i="1"/>
  <c r="J589" i="1"/>
  <c r="I589" i="1"/>
  <c r="H589" i="1"/>
  <c r="G589" i="1"/>
  <c r="D589" i="1"/>
  <c r="C589" i="1"/>
  <c r="B589" i="1"/>
  <c r="A589" i="1"/>
  <c r="M588" i="1"/>
  <c r="K588" i="1"/>
  <c r="J588" i="1"/>
  <c r="I588" i="1"/>
  <c r="H588" i="1"/>
  <c r="D588" i="1"/>
  <c r="C588" i="1"/>
  <c r="B588" i="1"/>
  <c r="A588" i="1"/>
  <c r="M587" i="1"/>
  <c r="K587" i="1"/>
  <c r="J587" i="1"/>
  <c r="I587" i="1"/>
  <c r="H587" i="1"/>
  <c r="G587" i="1"/>
  <c r="D587" i="1"/>
  <c r="C587" i="1"/>
  <c r="B587" i="1"/>
  <c r="A587" i="1"/>
  <c r="K586" i="1"/>
  <c r="J586" i="1"/>
  <c r="I586" i="1"/>
  <c r="H586" i="1"/>
  <c r="G586" i="1"/>
  <c r="D586" i="1"/>
  <c r="C586" i="1"/>
  <c r="B586" i="1"/>
  <c r="A586" i="1"/>
  <c r="K585" i="1"/>
  <c r="J585" i="1"/>
  <c r="I585" i="1"/>
  <c r="H585" i="1"/>
  <c r="G585" i="1"/>
  <c r="D585" i="1"/>
  <c r="B585" i="1"/>
  <c r="A585" i="1"/>
  <c r="M584" i="1"/>
  <c r="K584" i="1"/>
  <c r="J584" i="1"/>
  <c r="I584" i="1"/>
  <c r="H584" i="1"/>
  <c r="G584" i="1"/>
  <c r="D584" i="1"/>
  <c r="C584" i="1"/>
  <c r="B584" i="1"/>
  <c r="A584" i="1"/>
  <c r="M582" i="1"/>
  <c r="K582" i="1"/>
  <c r="J582" i="1"/>
  <c r="I582" i="1"/>
  <c r="H582" i="1"/>
  <c r="G582" i="1"/>
  <c r="D582" i="1"/>
  <c r="C582" i="1"/>
  <c r="B582" i="1"/>
  <c r="A582" i="1"/>
  <c r="M580" i="1"/>
  <c r="K580" i="1"/>
  <c r="J580" i="1"/>
  <c r="I580" i="1"/>
  <c r="H580" i="1"/>
  <c r="D580" i="1"/>
  <c r="C580" i="1"/>
  <c r="B580" i="1"/>
  <c r="A580" i="1"/>
  <c r="K579" i="1"/>
  <c r="J579" i="1"/>
  <c r="I579" i="1"/>
  <c r="H579" i="1"/>
  <c r="G579" i="1"/>
  <c r="D579" i="1"/>
  <c r="C579" i="1"/>
  <c r="B579" i="1"/>
  <c r="A579" i="1"/>
  <c r="K578" i="1"/>
  <c r="J578" i="1"/>
  <c r="I578" i="1"/>
  <c r="H578" i="1"/>
  <c r="G578" i="1"/>
  <c r="D578" i="1"/>
  <c r="C578" i="1"/>
  <c r="B578" i="1"/>
  <c r="A578" i="1"/>
  <c r="K577" i="1"/>
  <c r="J577" i="1"/>
  <c r="I577" i="1"/>
  <c r="H577" i="1"/>
  <c r="G577" i="1"/>
  <c r="D577" i="1"/>
  <c r="C577" i="1"/>
  <c r="B577" i="1"/>
  <c r="A577" i="1"/>
  <c r="K576" i="1"/>
  <c r="J576" i="1"/>
  <c r="I576" i="1"/>
  <c r="H576" i="1"/>
  <c r="G576" i="1"/>
  <c r="D576" i="1"/>
  <c r="C576" i="1"/>
  <c r="B576" i="1"/>
  <c r="A576" i="1"/>
  <c r="M575" i="1"/>
  <c r="K575" i="1"/>
  <c r="J575" i="1"/>
  <c r="I575" i="1"/>
  <c r="H575" i="1"/>
  <c r="G575" i="1"/>
  <c r="D575" i="1"/>
  <c r="C575" i="1"/>
  <c r="B575" i="1"/>
  <c r="A575" i="1"/>
  <c r="K574" i="1"/>
  <c r="J574" i="1"/>
  <c r="I574" i="1"/>
  <c r="H574" i="1"/>
  <c r="G574" i="1"/>
  <c r="D574" i="1"/>
  <c r="C574" i="1"/>
  <c r="B574" i="1"/>
  <c r="A574" i="1"/>
  <c r="K573" i="1"/>
  <c r="H573" i="1"/>
  <c r="K571" i="1"/>
  <c r="J571" i="1"/>
  <c r="I571" i="1"/>
  <c r="H571" i="1"/>
  <c r="G571" i="1"/>
  <c r="D571" i="1"/>
  <c r="C571" i="1"/>
  <c r="B571" i="1"/>
  <c r="A571" i="1"/>
  <c r="K570" i="1"/>
  <c r="J570" i="1"/>
  <c r="I570" i="1"/>
  <c r="H570" i="1"/>
  <c r="G570" i="1"/>
  <c r="D570" i="1"/>
  <c r="C570" i="1"/>
  <c r="B570" i="1"/>
  <c r="A570" i="1"/>
  <c r="M568" i="1"/>
  <c r="K568" i="1"/>
  <c r="J568" i="1"/>
  <c r="I568" i="1"/>
  <c r="H568" i="1"/>
  <c r="G568" i="1"/>
  <c r="D568" i="1"/>
  <c r="C568" i="1"/>
  <c r="B568" i="1"/>
  <c r="A568" i="1"/>
  <c r="K567" i="1"/>
  <c r="J567" i="1"/>
  <c r="I567" i="1"/>
  <c r="H567" i="1"/>
  <c r="G567" i="1"/>
  <c r="D567" i="1"/>
  <c r="C567" i="1"/>
  <c r="B567" i="1"/>
  <c r="A567" i="1"/>
  <c r="K566" i="1"/>
  <c r="J566" i="1"/>
  <c r="I566" i="1"/>
  <c r="H566" i="1"/>
  <c r="G566" i="1"/>
  <c r="D566" i="1"/>
  <c r="C566" i="1"/>
  <c r="B566" i="1"/>
  <c r="A566" i="1"/>
  <c r="K565" i="1"/>
  <c r="J565" i="1"/>
  <c r="I565" i="1"/>
  <c r="H565" i="1"/>
  <c r="G565" i="1"/>
  <c r="D565" i="1"/>
  <c r="C565" i="1"/>
  <c r="B565" i="1"/>
  <c r="A565" i="1"/>
  <c r="C564" i="1"/>
  <c r="K563" i="1"/>
  <c r="J563" i="1"/>
  <c r="I563" i="1"/>
  <c r="H563" i="1"/>
  <c r="G563" i="1"/>
  <c r="D563" i="1"/>
  <c r="C563" i="1"/>
  <c r="B563" i="1"/>
  <c r="A563" i="1"/>
  <c r="M562" i="1"/>
  <c r="K562" i="1"/>
  <c r="J562" i="1"/>
  <c r="I562" i="1"/>
  <c r="H562" i="1"/>
  <c r="G562" i="1"/>
  <c r="D562" i="1"/>
  <c r="C562" i="1"/>
  <c r="B562" i="1"/>
  <c r="A562" i="1"/>
  <c r="M561" i="1"/>
  <c r="K561" i="1"/>
  <c r="J561" i="1"/>
  <c r="I561" i="1"/>
  <c r="H561" i="1"/>
  <c r="G561" i="1"/>
  <c r="D561" i="1"/>
  <c r="C561" i="1"/>
  <c r="B561" i="1"/>
  <c r="A561" i="1"/>
  <c r="K560" i="1"/>
  <c r="J560" i="1"/>
  <c r="I560" i="1"/>
  <c r="H560" i="1"/>
  <c r="G560" i="1"/>
  <c r="D560" i="1"/>
  <c r="C560" i="1"/>
  <c r="B560" i="1"/>
  <c r="A560" i="1"/>
  <c r="K559" i="1"/>
  <c r="J559" i="1"/>
  <c r="I559" i="1"/>
  <c r="H559" i="1"/>
  <c r="D559" i="1"/>
  <c r="B559" i="1"/>
  <c r="A559" i="1"/>
  <c r="K558" i="1"/>
  <c r="J558" i="1"/>
  <c r="I558" i="1"/>
  <c r="H558" i="1"/>
  <c r="G558" i="1"/>
  <c r="D558" i="1"/>
  <c r="C558" i="1"/>
  <c r="B558" i="1"/>
  <c r="A558" i="1"/>
  <c r="K557" i="1"/>
  <c r="J557" i="1"/>
  <c r="I557" i="1"/>
  <c r="H557" i="1"/>
  <c r="G557" i="1"/>
  <c r="D557" i="1"/>
  <c r="C557" i="1"/>
  <c r="B557" i="1"/>
  <c r="A557" i="1"/>
  <c r="M556" i="1"/>
  <c r="K556" i="1"/>
  <c r="J556" i="1"/>
  <c r="I556" i="1"/>
  <c r="H556" i="1"/>
  <c r="G556" i="1"/>
  <c r="D556" i="1"/>
  <c r="C556" i="1"/>
  <c r="B556" i="1"/>
  <c r="A556" i="1"/>
  <c r="K555" i="1"/>
  <c r="J555" i="1"/>
  <c r="I555" i="1"/>
  <c r="H555" i="1"/>
  <c r="G555" i="1"/>
  <c r="D555" i="1"/>
  <c r="C555" i="1"/>
  <c r="B555" i="1"/>
  <c r="A555" i="1"/>
  <c r="K554" i="1"/>
  <c r="J554" i="1"/>
  <c r="I554" i="1"/>
  <c r="H554" i="1"/>
  <c r="G554" i="1"/>
  <c r="D554" i="1"/>
  <c r="C554" i="1"/>
  <c r="B554" i="1"/>
  <c r="A554" i="1"/>
  <c r="M552" i="1"/>
  <c r="K552" i="1"/>
  <c r="J552" i="1"/>
  <c r="I552" i="1"/>
  <c r="H552" i="1"/>
  <c r="D552" i="1"/>
  <c r="C552" i="1"/>
  <c r="B552" i="1"/>
  <c r="A552" i="1"/>
  <c r="M551" i="1"/>
  <c r="K551" i="1"/>
  <c r="J551" i="1"/>
  <c r="I551" i="1"/>
  <c r="H551" i="1"/>
  <c r="G551" i="1"/>
  <c r="D551" i="1"/>
  <c r="B551" i="1"/>
  <c r="A551" i="1"/>
  <c r="K550" i="1"/>
  <c r="J550" i="1"/>
  <c r="I550" i="1"/>
  <c r="H550" i="1"/>
  <c r="D550" i="1"/>
  <c r="C550" i="1"/>
  <c r="B550" i="1"/>
  <c r="A550" i="1"/>
  <c r="K549" i="1"/>
  <c r="J549" i="1"/>
  <c r="I549" i="1"/>
  <c r="H549" i="1"/>
  <c r="G549" i="1"/>
  <c r="D549" i="1"/>
  <c r="C549" i="1"/>
  <c r="B549" i="1"/>
  <c r="A549" i="1"/>
  <c r="K548" i="1"/>
  <c r="J548" i="1"/>
  <c r="I548" i="1"/>
  <c r="H548" i="1"/>
  <c r="G548" i="1"/>
  <c r="D548" i="1"/>
  <c r="C548" i="1"/>
  <c r="B548" i="1"/>
  <c r="A548" i="1"/>
  <c r="M547" i="1"/>
  <c r="K547" i="1"/>
  <c r="J547" i="1"/>
  <c r="I547" i="1"/>
  <c r="H547" i="1"/>
  <c r="G547" i="1"/>
  <c r="D547" i="1"/>
  <c r="C547" i="1"/>
  <c r="B547" i="1"/>
  <c r="A547" i="1"/>
  <c r="K546" i="1"/>
  <c r="J546" i="1"/>
  <c r="I546" i="1"/>
  <c r="H546" i="1"/>
  <c r="G546" i="1"/>
  <c r="D546" i="1"/>
  <c r="C546" i="1"/>
  <c r="B546" i="1"/>
  <c r="A546" i="1"/>
  <c r="K545" i="1"/>
  <c r="J545" i="1"/>
  <c r="I545" i="1"/>
  <c r="H545" i="1"/>
  <c r="G545" i="1"/>
  <c r="D545" i="1"/>
  <c r="C545" i="1"/>
  <c r="B545" i="1"/>
  <c r="A545" i="1"/>
  <c r="K544" i="1"/>
  <c r="J544" i="1"/>
  <c r="I544" i="1"/>
  <c r="H544" i="1"/>
  <c r="G544" i="1"/>
  <c r="D544" i="1"/>
  <c r="C544" i="1"/>
  <c r="B544" i="1"/>
  <c r="A544" i="1"/>
  <c r="K543" i="1"/>
  <c r="J543" i="1"/>
  <c r="I543" i="1"/>
  <c r="H543" i="1"/>
  <c r="G543" i="1"/>
  <c r="D543" i="1"/>
  <c r="B543" i="1"/>
  <c r="A543" i="1"/>
  <c r="K542" i="1"/>
  <c r="J542" i="1"/>
  <c r="I542" i="1"/>
  <c r="H542" i="1"/>
  <c r="G542" i="1"/>
  <c r="D542" i="1"/>
  <c r="C542" i="1"/>
  <c r="B542" i="1"/>
  <c r="A542" i="1"/>
  <c r="K541" i="1"/>
  <c r="J541" i="1"/>
  <c r="I541" i="1"/>
  <c r="H541" i="1"/>
  <c r="G541" i="1"/>
  <c r="D541" i="1"/>
  <c r="C541" i="1"/>
  <c r="B541" i="1"/>
  <c r="A541" i="1"/>
  <c r="K540" i="1"/>
  <c r="J540" i="1"/>
  <c r="I540" i="1"/>
  <c r="H540" i="1"/>
  <c r="D540" i="1"/>
  <c r="C540" i="1"/>
  <c r="B540" i="1"/>
  <c r="A540" i="1"/>
  <c r="K539" i="1"/>
  <c r="J539" i="1"/>
  <c r="I539" i="1"/>
  <c r="H539" i="1"/>
  <c r="G539" i="1"/>
  <c r="D539" i="1"/>
  <c r="C539" i="1"/>
  <c r="B539" i="1"/>
  <c r="A539" i="1"/>
  <c r="M538" i="1"/>
  <c r="K538" i="1"/>
  <c r="J538" i="1"/>
  <c r="I538" i="1"/>
  <c r="H538" i="1"/>
  <c r="D538" i="1"/>
  <c r="C538" i="1"/>
  <c r="B538" i="1"/>
  <c r="A538" i="1"/>
  <c r="M536" i="1"/>
  <c r="K536" i="1"/>
  <c r="J536" i="1"/>
  <c r="I536" i="1"/>
  <c r="H536" i="1"/>
  <c r="D536" i="1"/>
  <c r="C536" i="1"/>
  <c r="B536" i="1"/>
  <c r="A536" i="1"/>
  <c r="K535" i="1"/>
  <c r="J535" i="1"/>
  <c r="I535" i="1"/>
  <c r="H535" i="1"/>
  <c r="G535" i="1"/>
  <c r="D535" i="1"/>
  <c r="C535" i="1"/>
  <c r="B535" i="1"/>
  <c r="A535" i="1"/>
  <c r="K534" i="1"/>
  <c r="J534" i="1"/>
  <c r="I534" i="1"/>
  <c r="H534" i="1"/>
  <c r="G534" i="1"/>
  <c r="D534" i="1"/>
  <c r="C534" i="1"/>
  <c r="B534" i="1"/>
  <c r="A534" i="1"/>
  <c r="K533" i="1"/>
  <c r="J533" i="1"/>
  <c r="I533" i="1"/>
  <c r="H533" i="1"/>
  <c r="G533" i="1"/>
  <c r="D533" i="1"/>
  <c r="C533" i="1"/>
  <c r="B533" i="1"/>
  <c r="A533" i="1"/>
  <c r="M532" i="1"/>
  <c r="K532" i="1"/>
  <c r="J532" i="1"/>
  <c r="I532" i="1"/>
  <c r="H532" i="1"/>
  <c r="G532" i="1"/>
  <c r="D532" i="1"/>
  <c r="C532" i="1"/>
  <c r="B532" i="1"/>
  <c r="A532" i="1"/>
  <c r="K531" i="1"/>
  <c r="J531" i="1"/>
  <c r="I531" i="1"/>
  <c r="H531" i="1"/>
  <c r="G531" i="1"/>
  <c r="D531" i="1"/>
  <c r="B531" i="1"/>
  <c r="A531" i="1"/>
  <c r="K530" i="1"/>
  <c r="J530" i="1"/>
  <c r="I530" i="1"/>
  <c r="H530" i="1"/>
  <c r="G530" i="1"/>
  <c r="D530" i="1"/>
  <c r="C530" i="1"/>
  <c r="B530" i="1"/>
  <c r="A530" i="1"/>
  <c r="K529" i="1"/>
  <c r="J529" i="1"/>
  <c r="I529" i="1"/>
  <c r="H529" i="1"/>
  <c r="G529" i="1"/>
  <c r="D529" i="1"/>
  <c r="C529" i="1"/>
  <c r="B529" i="1"/>
  <c r="A529" i="1"/>
  <c r="K528" i="1"/>
  <c r="J528" i="1"/>
  <c r="I528" i="1"/>
  <c r="H528" i="1"/>
  <c r="G528" i="1"/>
  <c r="D528" i="1"/>
  <c r="C528" i="1"/>
  <c r="B528" i="1"/>
  <c r="A528" i="1"/>
  <c r="K527" i="1"/>
  <c r="J527" i="1"/>
  <c r="I527" i="1"/>
  <c r="H527" i="1"/>
  <c r="D527" i="1"/>
  <c r="C527" i="1"/>
  <c r="B527" i="1"/>
  <c r="A527" i="1"/>
  <c r="G526" i="1"/>
  <c r="K525" i="1"/>
  <c r="J525" i="1"/>
  <c r="I525" i="1"/>
  <c r="H525" i="1"/>
  <c r="G525" i="1"/>
  <c r="D525" i="1"/>
  <c r="C525" i="1"/>
  <c r="B525" i="1"/>
  <c r="A525" i="1"/>
  <c r="K524" i="1"/>
  <c r="J524" i="1"/>
  <c r="I524" i="1"/>
  <c r="H524" i="1"/>
  <c r="G524" i="1"/>
  <c r="D524" i="1"/>
  <c r="C524" i="1"/>
  <c r="B524" i="1"/>
  <c r="A524" i="1"/>
  <c r="M523" i="1"/>
  <c r="K523" i="1"/>
  <c r="J523" i="1"/>
  <c r="I523" i="1"/>
  <c r="H523" i="1"/>
  <c r="G523" i="1"/>
  <c r="D523" i="1"/>
  <c r="C523" i="1"/>
  <c r="B523" i="1"/>
  <c r="A523" i="1"/>
  <c r="M522" i="1"/>
  <c r="K522" i="1"/>
  <c r="J522" i="1"/>
  <c r="I522" i="1"/>
  <c r="H522" i="1"/>
  <c r="G522" i="1"/>
  <c r="D522" i="1"/>
  <c r="C522" i="1"/>
  <c r="B522" i="1"/>
  <c r="A522" i="1"/>
  <c r="M521" i="1"/>
  <c r="K521" i="1"/>
  <c r="J521" i="1"/>
  <c r="I521" i="1"/>
  <c r="H521" i="1"/>
  <c r="G521" i="1"/>
  <c r="D521" i="1"/>
  <c r="B521" i="1"/>
  <c r="A521" i="1"/>
  <c r="M520" i="1"/>
  <c r="K520" i="1"/>
  <c r="J520" i="1"/>
  <c r="I520" i="1"/>
  <c r="H520" i="1"/>
  <c r="G520" i="1"/>
  <c r="D520" i="1"/>
  <c r="C520" i="1"/>
  <c r="B520" i="1"/>
  <c r="A520" i="1"/>
  <c r="M519" i="1"/>
  <c r="K519" i="1"/>
  <c r="J519" i="1"/>
  <c r="I519" i="1"/>
  <c r="H519" i="1"/>
  <c r="G519" i="1"/>
  <c r="D519" i="1"/>
  <c r="C519" i="1"/>
  <c r="B519" i="1"/>
  <c r="A519" i="1"/>
  <c r="K518" i="1"/>
  <c r="J518" i="1"/>
  <c r="I518" i="1"/>
  <c r="H518" i="1"/>
  <c r="G518" i="1"/>
  <c r="D518" i="1"/>
  <c r="C518" i="1"/>
  <c r="B518" i="1"/>
  <c r="A518" i="1"/>
  <c r="M517" i="1"/>
  <c r="K517" i="1"/>
  <c r="J517" i="1"/>
  <c r="I517" i="1"/>
  <c r="H517" i="1"/>
  <c r="G517" i="1"/>
  <c r="D517" i="1"/>
  <c r="C517" i="1"/>
  <c r="B517" i="1"/>
  <c r="A517" i="1"/>
  <c r="K516" i="1"/>
  <c r="J516" i="1"/>
  <c r="I516" i="1"/>
  <c r="H516" i="1"/>
  <c r="D516" i="1"/>
  <c r="B516" i="1"/>
  <c r="A516" i="1"/>
  <c r="M515" i="1"/>
  <c r="K515" i="1"/>
  <c r="J515" i="1"/>
  <c r="I515" i="1"/>
  <c r="H515" i="1"/>
  <c r="D515" i="1"/>
  <c r="C515" i="1"/>
  <c r="B515" i="1"/>
  <c r="A515" i="1"/>
  <c r="K514" i="1"/>
  <c r="J514" i="1"/>
  <c r="I514" i="1"/>
  <c r="H514" i="1"/>
  <c r="G514" i="1"/>
  <c r="D514" i="1"/>
  <c r="C514" i="1"/>
  <c r="B514" i="1"/>
  <c r="A514" i="1"/>
  <c r="K513" i="1"/>
  <c r="J513" i="1"/>
  <c r="I513" i="1"/>
  <c r="H513" i="1"/>
  <c r="G513" i="1"/>
  <c r="D513" i="1"/>
  <c r="C513" i="1"/>
  <c r="B513" i="1"/>
  <c r="A513" i="1"/>
  <c r="M512" i="1"/>
  <c r="K512" i="1"/>
  <c r="J512" i="1"/>
  <c r="I512" i="1"/>
  <c r="H512" i="1"/>
  <c r="G512" i="1"/>
  <c r="D512" i="1"/>
  <c r="C512" i="1"/>
  <c r="B512" i="1"/>
  <c r="A512" i="1"/>
  <c r="K511" i="1"/>
  <c r="J511" i="1"/>
  <c r="I511" i="1"/>
  <c r="H511" i="1"/>
  <c r="G511" i="1"/>
  <c r="D511" i="1"/>
  <c r="C511" i="1"/>
  <c r="B511" i="1"/>
  <c r="A511" i="1"/>
  <c r="K510" i="1"/>
  <c r="J510" i="1"/>
  <c r="I510" i="1"/>
  <c r="H510" i="1"/>
  <c r="G510" i="1"/>
  <c r="D510" i="1"/>
  <c r="C510" i="1"/>
  <c r="B510" i="1"/>
  <c r="A510" i="1"/>
  <c r="K509" i="1"/>
  <c r="J509" i="1"/>
  <c r="I509" i="1"/>
  <c r="H509" i="1"/>
  <c r="G509" i="1"/>
  <c r="D509" i="1"/>
  <c r="B509" i="1"/>
  <c r="A509" i="1"/>
  <c r="K508" i="1"/>
  <c r="J508" i="1"/>
  <c r="I508" i="1"/>
  <c r="H508" i="1"/>
  <c r="G508" i="1"/>
  <c r="D508" i="1"/>
  <c r="C508" i="1"/>
  <c r="B508" i="1"/>
  <c r="A508" i="1"/>
  <c r="K507" i="1"/>
  <c r="J507" i="1"/>
  <c r="I507" i="1"/>
  <c r="H507" i="1"/>
  <c r="G507" i="1"/>
  <c r="D507" i="1"/>
  <c r="C507" i="1"/>
  <c r="B507" i="1"/>
  <c r="A507" i="1"/>
  <c r="K506" i="1"/>
  <c r="J506" i="1"/>
  <c r="I506" i="1"/>
  <c r="H506" i="1"/>
  <c r="G506" i="1"/>
  <c r="D506" i="1"/>
  <c r="C506" i="1"/>
  <c r="B506" i="1"/>
  <c r="A506" i="1"/>
  <c r="M505" i="1"/>
  <c r="K505" i="1"/>
  <c r="J505" i="1"/>
  <c r="I505" i="1"/>
  <c r="H505" i="1"/>
  <c r="G505" i="1"/>
  <c r="D505" i="1"/>
  <c r="C505" i="1"/>
  <c r="B505" i="1"/>
  <c r="A505" i="1"/>
  <c r="K504" i="1"/>
  <c r="J504" i="1"/>
  <c r="I504" i="1"/>
  <c r="H504" i="1"/>
  <c r="G504" i="1"/>
  <c r="D504" i="1"/>
  <c r="C504" i="1"/>
  <c r="B504" i="1"/>
  <c r="A504" i="1"/>
  <c r="K503" i="1"/>
  <c r="J503" i="1"/>
  <c r="I503" i="1"/>
  <c r="H503" i="1"/>
  <c r="G503" i="1"/>
  <c r="D503" i="1"/>
  <c r="C503" i="1"/>
  <c r="B503" i="1"/>
  <c r="A503" i="1"/>
  <c r="K502" i="1"/>
  <c r="J502" i="1"/>
  <c r="I502" i="1"/>
  <c r="H502" i="1"/>
  <c r="G502" i="1"/>
  <c r="D502" i="1"/>
  <c r="C502" i="1"/>
  <c r="B502" i="1"/>
  <c r="A502" i="1"/>
  <c r="K501" i="1"/>
  <c r="J501" i="1"/>
  <c r="I501" i="1"/>
  <c r="H501" i="1"/>
  <c r="G501" i="1"/>
  <c r="D501" i="1"/>
  <c r="C501" i="1"/>
  <c r="B501" i="1"/>
  <c r="A501" i="1"/>
  <c r="K500" i="1"/>
  <c r="J500" i="1"/>
  <c r="I500" i="1"/>
  <c r="H500" i="1"/>
  <c r="G500" i="1"/>
  <c r="D500" i="1"/>
  <c r="C500" i="1"/>
  <c r="B500" i="1"/>
  <c r="A500" i="1"/>
  <c r="K499" i="1"/>
  <c r="J499" i="1"/>
  <c r="I499" i="1"/>
  <c r="H499" i="1"/>
  <c r="G499" i="1"/>
  <c r="D499" i="1"/>
  <c r="C499" i="1"/>
  <c r="B499" i="1"/>
  <c r="A499" i="1"/>
  <c r="M498" i="1"/>
  <c r="K498" i="1"/>
  <c r="J498" i="1"/>
  <c r="I498" i="1"/>
  <c r="H498" i="1"/>
  <c r="G498" i="1"/>
  <c r="D498" i="1"/>
  <c r="C498" i="1"/>
  <c r="B498" i="1"/>
  <c r="A498" i="1"/>
  <c r="K497" i="1"/>
  <c r="J497" i="1"/>
  <c r="I497" i="1"/>
  <c r="H497" i="1"/>
  <c r="G497" i="1"/>
  <c r="D497" i="1"/>
  <c r="C497" i="1"/>
  <c r="B497" i="1"/>
  <c r="A497" i="1"/>
  <c r="K496" i="1"/>
  <c r="J496" i="1"/>
  <c r="I496" i="1"/>
  <c r="H496" i="1"/>
  <c r="G496" i="1"/>
  <c r="D496" i="1"/>
  <c r="C496" i="1"/>
  <c r="B496" i="1"/>
  <c r="A496" i="1"/>
  <c r="K495" i="1"/>
  <c r="J495" i="1"/>
  <c r="I495" i="1"/>
  <c r="H495" i="1"/>
  <c r="G495" i="1"/>
  <c r="D495" i="1"/>
  <c r="B495" i="1"/>
  <c r="A495" i="1"/>
  <c r="K494" i="1"/>
  <c r="J494" i="1"/>
  <c r="I494" i="1"/>
  <c r="H494" i="1"/>
  <c r="G494" i="1"/>
  <c r="D494" i="1"/>
  <c r="C494" i="1"/>
  <c r="B494" i="1"/>
  <c r="A494" i="1"/>
  <c r="M493" i="1"/>
  <c r="K493" i="1"/>
  <c r="J493" i="1"/>
  <c r="I493" i="1"/>
  <c r="H493" i="1"/>
  <c r="G493" i="1"/>
  <c r="D493" i="1"/>
  <c r="C493" i="1"/>
  <c r="B493" i="1"/>
  <c r="A493" i="1"/>
  <c r="K492" i="1"/>
  <c r="J492" i="1"/>
  <c r="I492" i="1"/>
  <c r="H492" i="1"/>
  <c r="G492" i="1"/>
  <c r="D492" i="1"/>
  <c r="C492" i="1"/>
  <c r="B492" i="1"/>
  <c r="A492" i="1"/>
  <c r="M491" i="1"/>
  <c r="K491" i="1"/>
  <c r="J491" i="1"/>
  <c r="I491" i="1"/>
  <c r="H491" i="1"/>
  <c r="G491" i="1"/>
  <c r="D491" i="1"/>
  <c r="C491" i="1"/>
  <c r="B491" i="1"/>
  <c r="A491" i="1"/>
  <c r="M490" i="1"/>
  <c r="K490" i="1"/>
  <c r="J490" i="1"/>
  <c r="I490" i="1"/>
  <c r="H490" i="1"/>
  <c r="D490" i="1"/>
  <c r="C490" i="1"/>
  <c r="B490" i="1"/>
  <c r="A490" i="1"/>
  <c r="M489" i="1"/>
  <c r="K489" i="1"/>
  <c r="J489" i="1"/>
  <c r="I489" i="1"/>
  <c r="H489" i="1"/>
  <c r="G489" i="1"/>
  <c r="D489" i="1"/>
  <c r="C489" i="1"/>
  <c r="B489" i="1"/>
  <c r="A489" i="1"/>
  <c r="K488" i="1"/>
  <c r="J488" i="1"/>
  <c r="I488" i="1"/>
  <c r="H488" i="1"/>
  <c r="G488" i="1"/>
  <c r="D488" i="1"/>
  <c r="B488" i="1"/>
  <c r="A488" i="1"/>
  <c r="M487" i="1"/>
  <c r="K487" i="1"/>
  <c r="J487" i="1"/>
  <c r="I487" i="1"/>
  <c r="H487" i="1"/>
  <c r="D487" i="1"/>
  <c r="C487" i="1"/>
  <c r="B487" i="1"/>
  <c r="A487" i="1"/>
  <c r="M486" i="1"/>
  <c r="K486" i="1"/>
  <c r="J486" i="1"/>
  <c r="I486" i="1"/>
  <c r="H486" i="1"/>
  <c r="G486" i="1"/>
  <c r="D486" i="1"/>
  <c r="C486" i="1"/>
  <c r="B486" i="1"/>
  <c r="A486" i="1"/>
  <c r="K485" i="1"/>
  <c r="J485" i="1"/>
  <c r="I485" i="1"/>
  <c r="H485" i="1"/>
  <c r="G485" i="1"/>
  <c r="D485" i="1"/>
  <c r="C485" i="1"/>
  <c r="B485" i="1"/>
  <c r="A485" i="1"/>
  <c r="M484" i="1"/>
  <c r="K484" i="1"/>
  <c r="J484" i="1"/>
  <c r="I484" i="1"/>
  <c r="H484" i="1"/>
  <c r="G484" i="1"/>
  <c r="D484" i="1"/>
  <c r="C484" i="1"/>
  <c r="B484" i="1"/>
  <c r="A484" i="1"/>
  <c r="K483" i="1"/>
  <c r="J483" i="1"/>
  <c r="I483" i="1"/>
  <c r="H483" i="1"/>
  <c r="G483" i="1"/>
  <c r="D483" i="1"/>
  <c r="C483" i="1"/>
  <c r="B483" i="1"/>
  <c r="A483" i="1"/>
  <c r="K482" i="1"/>
  <c r="J482" i="1"/>
  <c r="I482" i="1"/>
  <c r="H482" i="1"/>
  <c r="G482" i="1"/>
  <c r="D482" i="1"/>
  <c r="C482" i="1"/>
  <c r="B482" i="1"/>
  <c r="A482" i="1"/>
  <c r="K481" i="1"/>
  <c r="J481" i="1"/>
  <c r="I481" i="1"/>
  <c r="H481" i="1"/>
  <c r="G481" i="1"/>
  <c r="D481" i="1"/>
  <c r="C481" i="1"/>
  <c r="B481" i="1"/>
  <c r="A481" i="1"/>
  <c r="K480" i="1"/>
  <c r="J480" i="1"/>
  <c r="I480" i="1"/>
  <c r="H480" i="1"/>
  <c r="G480" i="1"/>
  <c r="D480" i="1"/>
  <c r="C480" i="1"/>
  <c r="B480" i="1"/>
  <c r="A480" i="1"/>
  <c r="K479" i="1"/>
  <c r="J479" i="1"/>
  <c r="I479" i="1"/>
  <c r="H479" i="1"/>
  <c r="G479" i="1"/>
  <c r="D479" i="1"/>
  <c r="C479" i="1"/>
  <c r="B479" i="1"/>
  <c r="A479" i="1"/>
  <c r="K478" i="1"/>
  <c r="J478" i="1"/>
  <c r="I478" i="1"/>
  <c r="H478" i="1"/>
  <c r="G478" i="1"/>
  <c r="D478" i="1"/>
  <c r="C478" i="1"/>
  <c r="B478" i="1"/>
  <c r="A478" i="1"/>
  <c r="M477" i="1"/>
  <c r="K477" i="1"/>
  <c r="J477" i="1"/>
  <c r="I477" i="1"/>
  <c r="H477" i="1"/>
  <c r="D477" i="1"/>
  <c r="B477" i="1"/>
  <c r="A477" i="1"/>
  <c r="K476" i="1"/>
  <c r="J476" i="1"/>
  <c r="I476" i="1"/>
  <c r="H476" i="1"/>
  <c r="G476" i="1"/>
  <c r="D476" i="1"/>
  <c r="C476" i="1"/>
  <c r="B476" i="1"/>
  <c r="A476" i="1"/>
  <c r="K475" i="1"/>
  <c r="J475" i="1"/>
  <c r="I475" i="1"/>
  <c r="H475" i="1"/>
  <c r="G475" i="1"/>
  <c r="D475" i="1"/>
  <c r="C475" i="1"/>
  <c r="B475" i="1"/>
  <c r="A475" i="1"/>
  <c r="M473" i="1"/>
  <c r="K473" i="1"/>
  <c r="J473" i="1"/>
  <c r="I473" i="1"/>
  <c r="H473" i="1"/>
  <c r="G473" i="1"/>
  <c r="D473" i="1"/>
  <c r="C473" i="1"/>
  <c r="B473" i="1"/>
  <c r="A473" i="1"/>
  <c r="K472" i="1"/>
  <c r="J472" i="1"/>
  <c r="I472" i="1"/>
  <c r="H472" i="1"/>
  <c r="G472" i="1"/>
  <c r="D472" i="1"/>
  <c r="C472" i="1"/>
  <c r="B472" i="1"/>
  <c r="A472" i="1"/>
  <c r="K471" i="1"/>
  <c r="J471" i="1"/>
  <c r="I471" i="1"/>
  <c r="H471" i="1"/>
  <c r="G471" i="1"/>
  <c r="D471" i="1"/>
  <c r="C471" i="1"/>
  <c r="B471" i="1"/>
  <c r="A471" i="1"/>
  <c r="M470" i="1"/>
  <c r="K470" i="1"/>
  <c r="J470" i="1"/>
  <c r="I470" i="1"/>
  <c r="H470" i="1"/>
  <c r="G470" i="1"/>
  <c r="D470" i="1"/>
  <c r="C470" i="1"/>
  <c r="B470" i="1"/>
  <c r="A470" i="1"/>
  <c r="M469" i="1"/>
  <c r="K469" i="1"/>
  <c r="J469" i="1"/>
  <c r="I469" i="1"/>
  <c r="H469" i="1"/>
  <c r="G469" i="1"/>
  <c r="D469" i="1"/>
  <c r="C469" i="1"/>
  <c r="B469" i="1"/>
  <c r="A469" i="1"/>
  <c r="K468" i="1"/>
  <c r="J468" i="1"/>
  <c r="I468" i="1"/>
  <c r="H468" i="1"/>
  <c r="G468" i="1"/>
  <c r="D468" i="1"/>
  <c r="C468" i="1"/>
  <c r="B468" i="1"/>
  <c r="A468" i="1"/>
  <c r="K467" i="1"/>
  <c r="J467" i="1"/>
  <c r="I467" i="1"/>
  <c r="H467" i="1"/>
  <c r="G467" i="1"/>
  <c r="D467" i="1"/>
  <c r="C467" i="1"/>
  <c r="B467" i="1"/>
  <c r="A467" i="1"/>
  <c r="M466" i="1"/>
  <c r="K466" i="1"/>
  <c r="J466" i="1"/>
  <c r="I466" i="1"/>
  <c r="H466" i="1"/>
  <c r="D466" i="1"/>
  <c r="C466" i="1"/>
  <c r="B466" i="1"/>
  <c r="A466" i="1"/>
  <c r="K465" i="1"/>
  <c r="J465" i="1"/>
  <c r="I465" i="1"/>
  <c r="H465" i="1"/>
  <c r="G465" i="1"/>
  <c r="D465" i="1"/>
  <c r="C465" i="1"/>
  <c r="B465" i="1"/>
  <c r="A465" i="1"/>
  <c r="K464" i="1"/>
  <c r="J464" i="1"/>
  <c r="I464" i="1"/>
  <c r="H464" i="1"/>
  <c r="G464" i="1"/>
  <c r="D464" i="1"/>
  <c r="C464" i="1"/>
  <c r="B464" i="1"/>
  <c r="A464" i="1"/>
  <c r="K463" i="1"/>
  <c r="J463" i="1"/>
  <c r="I463" i="1"/>
  <c r="H463" i="1"/>
  <c r="D463" i="1"/>
  <c r="C463" i="1"/>
  <c r="B463" i="1"/>
  <c r="A463" i="1"/>
  <c r="M462" i="1"/>
  <c r="K462" i="1"/>
  <c r="J462" i="1"/>
  <c r="I462" i="1"/>
  <c r="H462" i="1"/>
  <c r="G462" i="1"/>
  <c r="D462" i="1"/>
  <c r="C462" i="1"/>
  <c r="B462" i="1"/>
  <c r="A462" i="1"/>
  <c r="K461" i="1"/>
  <c r="J461" i="1"/>
  <c r="I461" i="1"/>
  <c r="H461" i="1"/>
  <c r="G461" i="1"/>
  <c r="D461" i="1"/>
  <c r="C461" i="1"/>
  <c r="B461" i="1"/>
  <c r="A461" i="1"/>
  <c r="K460" i="1"/>
  <c r="J460" i="1"/>
  <c r="I460" i="1"/>
  <c r="H460" i="1"/>
  <c r="D460" i="1"/>
  <c r="C460" i="1"/>
  <c r="B460" i="1"/>
  <c r="A460" i="1"/>
  <c r="K459" i="1"/>
  <c r="J459" i="1"/>
  <c r="I459" i="1"/>
  <c r="H459" i="1"/>
  <c r="D459" i="1"/>
  <c r="C459" i="1"/>
  <c r="B459" i="1"/>
  <c r="A459" i="1"/>
  <c r="K458" i="1"/>
  <c r="J458" i="1"/>
  <c r="I458" i="1"/>
  <c r="H458" i="1"/>
  <c r="G458" i="1"/>
  <c r="D458" i="1"/>
  <c r="C458" i="1"/>
  <c r="B458" i="1"/>
  <c r="A458" i="1"/>
  <c r="K457" i="1"/>
  <c r="J457" i="1"/>
  <c r="I457" i="1"/>
  <c r="H457" i="1"/>
  <c r="G457" i="1"/>
  <c r="D457" i="1"/>
  <c r="C457" i="1"/>
  <c r="B457" i="1"/>
  <c r="A457" i="1"/>
  <c r="K455" i="1"/>
  <c r="J455" i="1"/>
  <c r="I455" i="1"/>
  <c r="H455" i="1"/>
  <c r="G455" i="1"/>
  <c r="D455" i="1"/>
  <c r="C455" i="1"/>
  <c r="B455" i="1"/>
  <c r="A455" i="1"/>
  <c r="K454" i="1"/>
  <c r="J454" i="1"/>
  <c r="I454" i="1"/>
  <c r="H454" i="1"/>
  <c r="G454" i="1"/>
  <c r="D454" i="1"/>
  <c r="C454" i="1"/>
  <c r="B454" i="1"/>
  <c r="A454" i="1"/>
  <c r="M453" i="1"/>
  <c r="J453" i="1"/>
  <c r="I453" i="1"/>
  <c r="D453" i="1"/>
  <c r="B453" i="1"/>
  <c r="A453" i="1"/>
  <c r="M452" i="1"/>
  <c r="K452" i="1"/>
  <c r="J452" i="1"/>
  <c r="I452" i="1"/>
  <c r="H452" i="1"/>
  <c r="G452" i="1"/>
  <c r="D452" i="1"/>
  <c r="C452" i="1"/>
  <c r="B452" i="1"/>
  <c r="A452" i="1"/>
  <c r="K451" i="1"/>
  <c r="J451" i="1"/>
  <c r="I451" i="1"/>
  <c r="H451" i="1"/>
  <c r="G451" i="1"/>
  <c r="D451" i="1"/>
  <c r="C451" i="1"/>
  <c r="B451" i="1"/>
  <c r="A451" i="1"/>
  <c r="K450" i="1"/>
  <c r="J450" i="1"/>
  <c r="I450" i="1"/>
  <c r="H450" i="1"/>
  <c r="G450" i="1"/>
  <c r="D450" i="1"/>
  <c r="C450" i="1"/>
  <c r="B450" i="1"/>
  <c r="A450" i="1"/>
  <c r="K449" i="1"/>
  <c r="J449" i="1"/>
  <c r="I449" i="1"/>
  <c r="H449" i="1"/>
  <c r="G449" i="1"/>
  <c r="D449" i="1"/>
  <c r="C449" i="1"/>
  <c r="B449" i="1"/>
  <c r="A449" i="1"/>
  <c r="M448" i="1"/>
  <c r="K448" i="1"/>
  <c r="J448" i="1"/>
  <c r="I448" i="1"/>
  <c r="H448" i="1"/>
  <c r="G448" i="1"/>
  <c r="D448" i="1"/>
  <c r="C448" i="1"/>
  <c r="B448" i="1"/>
  <c r="A448" i="1"/>
  <c r="K447" i="1"/>
  <c r="J447" i="1"/>
  <c r="I447" i="1"/>
  <c r="H447" i="1"/>
  <c r="G447" i="1"/>
  <c r="D447" i="1"/>
  <c r="C447" i="1"/>
  <c r="B447" i="1"/>
  <c r="A447" i="1"/>
  <c r="M446" i="1"/>
  <c r="K446" i="1"/>
  <c r="J446" i="1"/>
  <c r="I446" i="1"/>
  <c r="H446" i="1"/>
  <c r="D446" i="1"/>
  <c r="C446" i="1"/>
  <c r="B446" i="1"/>
  <c r="A446" i="1"/>
  <c r="K445" i="1"/>
  <c r="J445" i="1"/>
  <c r="I445" i="1"/>
  <c r="H445" i="1"/>
  <c r="G445" i="1"/>
  <c r="D445" i="1"/>
  <c r="C445" i="1"/>
  <c r="B445" i="1"/>
  <c r="A445" i="1"/>
  <c r="K444" i="1"/>
  <c r="J444" i="1"/>
  <c r="I444" i="1"/>
  <c r="H444" i="1"/>
  <c r="G444" i="1"/>
  <c r="D444" i="1"/>
  <c r="C444" i="1"/>
  <c r="B444" i="1"/>
  <c r="A444" i="1"/>
  <c r="M443" i="1"/>
  <c r="K443" i="1"/>
  <c r="J443" i="1"/>
  <c r="I443" i="1"/>
  <c r="H443" i="1"/>
  <c r="D443" i="1"/>
  <c r="C443" i="1"/>
  <c r="B443" i="1"/>
  <c r="A443" i="1"/>
  <c r="M442" i="1"/>
  <c r="K442" i="1"/>
  <c r="J442" i="1"/>
  <c r="I442" i="1"/>
  <c r="H442" i="1"/>
  <c r="D442" i="1"/>
  <c r="C442" i="1"/>
  <c r="B442" i="1"/>
  <c r="A442" i="1"/>
  <c r="K439" i="1"/>
  <c r="J439" i="1"/>
  <c r="I439" i="1"/>
  <c r="H439" i="1"/>
  <c r="G439" i="1"/>
  <c r="D439" i="1"/>
  <c r="C439" i="1"/>
  <c r="B439" i="1"/>
  <c r="A439" i="1"/>
  <c r="K438" i="1"/>
  <c r="J438" i="1"/>
  <c r="I438" i="1"/>
  <c r="H438" i="1"/>
  <c r="G438" i="1"/>
  <c r="D438" i="1"/>
  <c r="C438" i="1"/>
  <c r="B438" i="1"/>
  <c r="A438" i="1"/>
  <c r="K437" i="1"/>
  <c r="J437" i="1"/>
  <c r="I437" i="1"/>
  <c r="H437" i="1"/>
  <c r="G437" i="1"/>
  <c r="D437" i="1"/>
  <c r="C437" i="1"/>
  <c r="B437" i="1"/>
  <c r="A437" i="1"/>
  <c r="M436" i="1"/>
  <c r="K436" i="1"/>
  <c r="J436" i="1"/>
  <c r="I436" i="1"/>
  <c r="H436" i="1"/>
  <c r="G436" i="1"/>
  <c r="D436" i="1"/>
  <c r="C436" i="1"/>
  <c r="B436" i="1"/>
  <c r="A436" i="1"/>
  <c r="K435" i="1"/>
  <c r="J435" i="1"/>
  <c r="I435" i="1"/>
  <c r="H435" i="1"/>
  <c r="G435" i="1"/>
  <c r="D435" i="1"/>
  <c r="C435" i="1"/>
  <c r="B435" i="1"/>
  <c r="A435" i="1"/>
  <c r="K434" i="1"/>
  <c r="J434" i="1"/>
  <c r="I434" i="1"/>
  <c r="H434" i="1"/>
  <c r="G434" i="1"/>
  <c r="D434" i="1"/>
  <c r="C434" i="1"/>
  <c r="B434" i="1"/>
  <c r="A434" i="1"/>
  <c r="M433" i="1"/>
  <c r="K433" i="1"/>
  <c r="J433" i="1"/>
  <c r="I433" i="1"/>
  <c r="H433" i="1"/>
  <c r="G433" i="1"/>
  <c r="D433" i="1"/>
  <c r="C433" i="1"/>
  <c r="B433" i="1"/>
  <c r="A433" i="1"/>
  <c r="M432" i="1"/>
  <c r="K432" i="1"/>
  <c r="J432" i="1"/>
  <c r="I432" i="1"/>
  <c r="H432" i="1"/>
  <c r="G432" i="1"/>
  <c r="D432" i="1"/>
  <c r="C432" i="1"/>
  <c r="B432" i="1"/>
  <c r="A432" i="1"/>
  <c r="K431" i="1"/>
  <c r="J431" i="1"/>
  <c r="I431" i="1"/>
  <c r="H431" i="1"/>
  <c r="G431" i="1"/>
  <c r="D431" i="1"/>
  <c r="C431" i="1"/>
  <c r="B431" i="1"/>
  <c r="A431" i="1"/>
  <c r="K427" i="1"/>
  <c r="J427" i="1"/>
  <c r="I427" i="1"/>
  <c r="H427" i="1"/>
  <c r="G427" i="1"/>
  <c r="D427" i="1"/>
  <c r="C427" i="1"/>
  <c r="B427" i="1"/>
  <c r="A427" i="1"/>
  <c r="K426" i="1"/>
  <c r="J426" i="1"/>
  <c r="I426" i="1"/>
  <c r="H426" i="1"/>
  <c r="G426" i="1"/>
  <c r="D426" i="1"/>
  <c r="B426" i="1"/>
  <c r="A426" i="1"/>
  <c r="M425" i="1"/>
  <c r="K425" i="1"/>
  <c r="J425" i="1"/>
  <c r="I425" i="1"/>
  <c r="H425" i="1"/>
  <c r="G425" i="1"/>
  <c r="D425" i="1"/>
  <c r="C425" i="1"/>
  <c r="B425" i="1"/>
  <c r="A425" i="1"/>
  <c r="K424" i="1"/>
  <c r="J424" i="1"/>
  <c r="I424" i="1"/>
  <c r="H424" i="1"/>
  <c r="G424" i="1"/>
  <c r="D424" i="1"/>
  <c r="C424" i="1"/>
  <c r="B424" i="1"/>
  <c r="A424" i="1"/>
  <c r="M423" i="1"/>
  <c r="K423" i="1"/>
  <c r="J423" i="1"/>
  <c r="I423" i="1"/>
  <c r="H423" i="1"/>
  <c r="G423" i="1"/>
  <c r="D423" i="1"/>
  <c r="C423" i="1"/>
  <c r="B423" i="1"/>
  <c r="A423" i="1"/>
  <c r="K422" i="1"/>
  <c r="J422" i="1"/>
  <c r="I422" i="1"/>
  <c r="H422" i="1"/>
  <c r="G422" i="1"/>
  <c r="D422" i="1"/>
  <c r="C422" i="1"/>
  <c r="B422" i="1"/>
  <c r="A422" i="1"/>
  <c r="M421" i="1"/>
  <c r="K421" i="1"/>
  <c r="J421" i="1"/>
  <c r="I421" i="1"/>
  <c r="H421" i="1"/>
  <c r="G421" i="1"/>
  <c r="D421" i="1"/>
  <c r="C421" i="1"/>
  <c r="B421" i="1"/>
  <c r="A421" i="1"/>
  <c r="K420" i="1"/>
  <c r="J420" i="1"/>
  <c r="I420" i="1"/>
  <c r="H420" i="1"/>
  <c r="G420" i="1"/>
  <c r="D420" i="1"/>
  <c r="C420" i="1"/>
  <c r="B420" i="1"/>
  <c r="A420" i="1"/>
  <c r="K419" i="1"/>
  <c r="J419" i="1"/>
  <c r="I419" i="1"/>
  <c r="H419" i="1"/>
  <c r="G419" i="1"/>
  <c r="D419" i="1"/>
  <c r="C419" i="1"/>
  <c r="B419" i="1"/>
  <c r="A419" i="1"/>
  <c r="K418" i="1"/>
  <c r="J418" i="1"/>
  <c r="I418" i="1"/>
  <c r="H418" i="1"/>
  <c r="G418" i="1"/>
  <c r="D418" i="1"/>
  <c r="C418" i="1"/>
  <c r="B418" i="1"/>
  <c r="A418" i="1"/>
  <c r="K416" i="1"/>
  <c r="J416" i="1"/>
  <c r="I416" i="1"/>
  <c r="H416" i="1"/>
  <c r="G416" i="1"/>
  <c r="D416" i="1"/>
  <c r="C416" i="1"/>
  <c r="B416" i="1"/>
  <c r="A416" i="1"/>
  <c r="K415" i="1"/>
  <c r="J415" i="1"/>
  <c r="I415" i="1"/>
  <c r="H415" i="1"/>
  <c r="G415" i="1"/>
  <c r="D415" i="1"/>
  <c r="C415" i="1"/>
  <c r="B415" i="1"/>
  <c r="A415" i="1"/>
  <c r="K414" i="1"/>
  <c r="J414" i="1"/>
  <c r="I414" i="1"/>
  <c r="H414" i="1"/>
  <c r="G414" i="1"/>
  <c r="D414" i="1"/>
  <c r="C414" i="1"/>
  <c r="B414" i="1"/>
  <c r="A414" i="1"/>
  <c r="K413" i="1"/>
  <c r="J413" i="1"/>
  <c r="I413" i="1"/>
  <c r="H413" i="1"/>
  <c r="G413" i="1"/>
  <c r="D413" i="1"/>
  <c r="C413" i="1"/>
  <c r="B413" i="1"/>
  <c r="A413" i="1"/>
  <c r="K412" i="1"/>
  <c r="J412" i="1"/>
  <c r="I412" i="1"/>
  <c r="H412" i="1"/>
  <c r="G412" i="1"/>
  <c r="D412" i="1"/>
  <c r="C412" i="1"/>
  <c r="B412" i="1"/>
  <c r="A412" i="1"/>
  <c r="M411" i="1"/>
  <c r="K411" i="1"/>
  <c r="J411" i="1"/>
  <c r="I411" i="1"/>
  <c r="H411" i="1"/>
  <c r="G411" i="1"/>
  <c r="D411" i="1"/>
  <c r="C411" i="1"/>
  <c r="B411" i="1"/>
  <c r="A411" i="1"/>
  <c r="K410" i="1"/>
  <c r="J410" i="1"/>
  <c r="I410" i="1"/>
  <c r="H410" i="1"/>
  <c r="G410" i="1"/>
  <c r="D410" i="1"/>
  <c r="C410" i="1"/>
  <c r="B410" i="1"/>
  <c r="A410" i="1"/>
  <c r="K409" i="1"/>
  <c r="J409" i="1"/>
  <c r="I409" i="1"/>
  <c r="H409" i="1"/>
  <c r="G409" i="1"/>
  <c r="D409" i="1"/>
  <c r="C409" i="1"/>
  <c r="B409" i="1"/>
  <c r="A409" i="1"/>
  <c r="K408" i="1"/>
  <c r="J408" i="1"/>
  <c r="I408" i="1"/>
  <c r="H408" i="1"/>
  <c r="G408" i="1"/>
  <c r="D408" i="1"/>
  <c r="C408" i="1"/>
  <c r="B408" i="1"/>
  <c r="A408" i="1"/>
  <c r="K407" i="1"/>
  <c r="J407" i="1"/>
  <c r="I407" i="1"/>
  <c r="H407" i="1"/>
  <c r="G407" i="1"/>
  <c r="D407" i="1"/>
  <c r="C407" i="1"/>
  <c r="B407" i="1"/>
  <c r="A407" i="1"/>
  <c r="M406" i="1"/>
  <c r="K406" i="1"/>
  <c r="J406" i="1"/>
  <c r="I406" i="1"/>
  <c r="H406" i="1"/>
  <c r="D406" i="1"/>
  <c r="C406" i="1"/>
  <c r="B406" i="1"/>
  <c r="A406" i="1"/>
  <c r="K405" i="1"/>
  <c r="J405" i="1"/>
  <c r="I405" i="1"/>
  <c r="H405" i="1"/>
  <c r="G405" i="1"/>
  <c r="D405" i="1"/>
  <c r="C405" i="1"/>
  <c r="B405" i="1"/>
  <c r="A405" i="1"/>
  <c r="K404" i="1"/>
  <c r="J404" i="1"/>
  <c r="I404" i="1"/>
  <c r="H404" i="1"/>
  <c r="G404" i="1"/>
  <c r="D404" i="1"/>
  <c r="C404" i="1"/>
  <c r="B404" i="1"/>
  <c r="A404" i="1"/>
  <c r="M403" i="1"/>
  <c r="K403" i="1"/>
  <c r="J403" i="1"/>
  <c r="I403" i="1"/>
  <c r="H403" i="1"/>
  <c r="G403" i="1"/>
  <c r="D403" i="1"/>
  <c r="C403" i="1"/>
  <c r="B403" i="1"/>
  <c r="A403" i="1"/>
  <c r="K402" i="1"/>
  <c r="J402" i="1"/>
  <c r="I402" i="1"/>
  <c r="H402" i="1"/>
  <c r="G402" i="1"/>
  <c r="D402" i="1"/>
  <c r="C402" i="1"/>
  <c r="B402" i="1"/>
  <c r="A402" i="1"/>
  <c r="M400" i="1"/>
  <c r="K400" i="1"/>
  <c r="J400" i="1"/>
  <c r="I400" i="1"/>
  <c r="H400" i="1"/>
  <c r="G400" i="1"/>
  <c r="D400" i="1"/>
  <c r="C400" i="1"/>
  <c r="B400" i="1"/>
  <c r="A400" i="1"/>
  <c r="K399" i="1"/>
  <c r="J399" i="1"/>
  <c r="I399" i="1"/>
  <c r="H399" i="1"/>
  <c r="G399" i="1"/>
  <c r="D399" i="1"/>
  <c r="C399" i="1"/>
  <c r="B399" i="1"/>
  <c r="A399" i="1"/>
  <c r="M398" i="1"/>
  <c r="K398" i="1"/>
  <c r="J398" i="1"/>
  <c r="I398" i="1"/>
  <c r="H398" i="1"/>
  <c r="D398" i="1"/>
  <c r="C398" i="1"/>
  <c r="B398" i="1"/>
  <c r="A398" i="1"/>
  <c r="M397" i="1"/>
  <c r="K397" i="1"/>
  <c r="J397" i="1"/>
  <c r="I397" i="1"/>
  <c r="H397" i="1"/>
  <c r="G397" i="1"/>
  <c r="D397" i="1"/>
  <c r="C397" i="1"/>
  <c r="B397" i="1"/>
  <c r="A397" i="1"/>
  <c r="K396" i="1"/>
  <c r="J396" i="1"/>
  <c r="I396" i="1"/>
  <c r="H396" i="1"/>
  <c r="G396" i="1"/>
  <c r="D396" i="1"/>
  <c r="C396" i="1"/>
  <c r="B396" i="1"/>
  <c r="A396" i="1"/>
  <c r="M395" i="1"/>
  <c r="K395" i="1"/>
  <c r="J395" i="1"/>
  <c r="I395" i="1"/>
  <c r="H395" i="1"/>
  <c r="G395" i="1"/>
  <c r="D395" i="1"/>
  <c r="C395" i="1"/>
  <c r="B395" i="1"/>
  <c r="A395" i="1"/>
  <c r="K394" i="1"/>
  <c r="J394" i="1"/>
  <c r="I394" i="1"/>
  <c r="H394" i="1"/>
  <c r="G394" i="1"/>
  <c r="D394" i="1"/>
  <c r="C394" i="1"/>
  <c r="B394" i="1"/>
  <c r="A394" i="1"/>
  <c r="K393" i="1"/>
  <c r="J393" i="1"/>
  <c r="I393" i="1"/>
  <c r="H393" i="1"/>
  <c r="G393" i="1"/>
  <c r="D393" i="1"/>
  <c r="C393" i="1"/>
  <c r="B393" i="1"/>
  <c r="A393" i="1"/>
  <c r="M392" i="1"/>
  <c r="K392" i="1"/>
  <c r="J392" i="1"/>
  <c r="I392" i="1"/>
  <c r="H392" i="1"/>
  <c r="G392" i="1"/>
  <c r="D392" i="1"/>
  <c r="B392" i="1"/>
  <c r="A392" i="1"/>
  <c r="M391" i="1"/>
  <c r="K391" i="1"/>
  <c r="J391" i="1"/>
  <c r="I391" i="1"/>
  <c r="H391" i="1"/>
  <c r="G391" i="1"/>
  <c r="D391" i="1"/>
  <c r="C391" i="1"/>
  <c r="B391" i="1"/>
  <c r="A391" i="1"/>
  <c r="K390" i="1"/>
  <c r="J390" i="1"/>
  <c r="I390" i="1"/>
  <c r="H390" i="1"/>
  <c r="G390" i="1"/>
  <c r="D390" i="1"/>
  <c r="C390" i="1"/>
  <c r="B390" i="1"/>
  <c r="A390" i="1"/>
  <c r="K389" i="1"/>
  <c r="J389" i="1"/>
  <c r="I389" i="1"/>
  <c r="H389" i="1"/>
  <c r="G389" i="1"/>
  <c r="D389" i="1"/>
  <c r="C389" i="1"/>
  <c r="B389" i="1"/>
  <c r="A389" i="1"/>
  <c r="K388" i="1"/>
  <c r="J388" i="1"/>
  <c r="I388" i="1"/>
  <c r="H388" i="1"/>
  <c r="G388" i="1"/>
  <c r="D388" i="1"/>
  <c r="C388" i="1"/>
  <c r="B388" i="1"/>
  <c r="A388" i="1"/>
  <c r="M387" i="1"/>
  <c r="K387" i="1"/>
  <c r="J387" i="1"/>
  <c r="I387" i="1"/>
  <c r="H387" i="1"/>
  <c r="G387" i="1"/>
  <c r="D387" i="1"/>
  <c r="C387" i="1"/>
  <c r="B387" i="1"/>
  <c r="A387" i="1"/>
  <c r="K386" i="1"/>
  <c r="J386" i="1"/>
  <c r="I386" i="1"/>
  <c r="H386" i="1"/>
  <c r="G386" i="1"/>
  <c r="D386" i="1"/>
  <c r="C386" i="1"/>
  <c r="B386" i="1"/>
  <c r="A386" i="1"/>
  <c r="K385" i="1"/>
  <c r="J385" i="1"/>
  <c r="I385" i="1"/>
  <c r="H385" i="1"/>
  <c r="G385" i="1"/>
  <c r="D385" i="1"/>
  <c r="C385" i="1"/>
  <c r="B385" i="1"/>
  <c r="A385" i="1"/>
  <c r="K384" i="1"/>
  <c r="J384" i="1"/>
  <c r="I384" i="1"/>
  <c r="H384" i="1"/>
  <c r="G384" i="1"/>
  <c r="D384" i="1"/>
  <c r="C384" i="1"/>
  <c r="B384" i="1"/>
  <c r="A384" i="1"/>
  <c r="K383" i="1"/>
  <c r="J383" i="1"/>
  <c r="I383" i="1"/>
  <c r="H383" i="1"/>
  <c r="G383" i="1"/>
  <c r="D383" i="1"/>
  <c r="C383" i="1"/>
  <c r="B383" i="1"/>
  <c r="A383" i="1"/>
  <c r="K382" i="1"/>
  <c r="J382" i="1"/>
  <c r="I382" i="1"/>
  <c r="H382" i="1"/>
  <c r="G382" i="1"/>
  <c r="D382" i="1"/>
  <c r="C382" i="1"/>
  <c r="B382" i="1"/>
  <c r="A382" i="1"/>
  <c r="M381" i="1"/>
  <c r="K381" i="1"/>
  <c r="J381" i="1"/>
  <c r="I381" i="1"/>
  <c r="H381" i="1"/>
  <c r="D381" i="1"/>
  <c r="B381" i="1"/>
  <c r="A381" i="1"/>
  <c r="M380" i="1"/>
  <c r="K380" i="1"/>
  <c r="J380" i="1"/>
  <c r="I380" i="1"/>
  <c r="H380" i="1"/>
  <c r="D380" i="1"/>
  <c r="C380" i="1"/>
  <c r="B380" i="1"/>
  <c r="A380" i="1"/>
  <c r="M379" i="1"/>
  <c r="K379" i="1"/>
  <c r="J379" i="1"/>
  <c r="I379" i="1"/>
  <c r="H379" i="1"/>
  <c r="G379" i="1"/>
  <c r="D379" i="1"/>
  <c r="C379" i="1"/>
  <c r="B379" i="1"/>
  <c r="A379" i="1"/>
  <c r="M377" i="1"/>
  <c r="K377" i="1"/>
  <c r="J377" i="1"/>
  <c r="I377" i="1"/>
  <c r="H377" i="1"/>
  <c r="G377" i="1"/>
  <c r="D377" i="1"/>
  <c r="C377" i="1"/>
  <c r="B377" i="1"/>
  <c r="A377" i="1"/>
  <c r="K376" i="1"/>
  <c r="J376" i="1"/>
  <c r="I376" i="1"/>
  <c r="H376" i="1"/>
  <c r="G376" i="1"/>
  <c r="D376" i="1"/>
  <c r="C376" i="1"/>
  <c r="B376" i="1"/>
  <c r="A376" i="1"/>
  <c r="K375" i="1"/>
  <c r="J375" i="1"/>
  <c r="I375" i="1"/>
  <c r="H375" i="1"/>
  <c r="G375" i="1"/>
  <c r="D375" i="1"/>
  <c r="C375" i="1"/>
  <c r="B375" i="1"/>
  <c r="A375" i="1"/>
  <c r="K374" i="1"/>
  <c r="J374" i="1"/>
  <c r="I374" i="1"/>
  <c r="H374" i="1"/>
  <c r="G374" i="1"/>
  <c r="D374" i="1"/>
  <c r="C374" i="1"/>
  <c r="B374" i="1"/>
  <c r="A374" i="1"/>
  <c r="K373" i="1"/>
  <c r="J373" i="1"/>
  <c r="I373" i="1"/>
  <c r="H373" i="1"/>
  <c r="D373" i="1"/>
  <c r="C373" i="1"/>
  <c r="B373" i="1"/>
  <c r="A373" i="1"/>
  <c r="M371" i="1"/>
  <c r="K371" i="1"/>
  <c r="J371" i="1"/>
  <c r="I371" i="1"/>
  <c r="H371" i="1"/>
  <c r="D371" i="1"/>
  <c r="C371" i="1"/>
  <c r="B371" i="1"/>
  <c r="A371" i="1"/>
  <c r="M370" i="1"/>
  <c r="K370" i="1"/>
  <c r="J370" i="1"/>
  <c r="I370" i="1"/>
  <c r="H370" i="1"/>
  <c r="G370" i="1"/>
  <c r="D370" i="1"/>
  <c r="C370" i="1"/>
  <c r="B370" i="1"/>
  <c r="A370" i="1"/>
  <c r="K369" i="1"/>
  <c r="J369" i="1"/>
  <c r="I369" i="1"/>
  <c r="H369" i="1"/>
  <c r="G369" i="1"/>
  <c r="D369" i="1"/>
  <c r="C369" i="1"/>
  <c r="B369" i="1"/>
  <c r="A369" i="1"/>
  <c r="K368" i="1"/>
  <c r="J368" i="1"/>
  <c r="I368" i="1"/>
  <c r="H368" i="1"/>
  <c r="G368" i="1"/>
  <c r="D368" i="1"/>
  <c r="C368" i="1"/>
  <c r="B368" i="1"/>
  <c r="A368" i="1"/>
  <c r="K367" i="1"/>
  <c r="J367" i="1"/>
  <c r="I367" i="1"/>
  <c r="H367" i="1"/>
  <c r="G367" i="1"/>
  <c r="D367" i="1"/>
  <c r="B367" i="1"/>
  <c r="A367" i="1"/>
  <c r="K366" i="1"/>
  <c r="J366" i="1"/>
  <c r="I366" i="1"/>
  <c r="H366" i="1"/>
  <c r="G366" i="1"/>
  <c r="D366" i="1"/>
  <c r="C366" i="1"/>
  <c r="B366" i="1"/>
  <c r="A366" i="1"/>
  <c r="K365" i="1"/>
  <c r="J365" i="1"/>
  <c r="I365" i="1"/>
  <c r="H365" i="1"/>
  <c r="G365" i="1"/>
  <c r="D365" i="1"/>
  <c r="C365" i="1"/>
  <c r="B365" i="1"/>
  <c r="A365" i="1"/>
  <c r="K364" i="1"/>
  <c r="J364" i="1"/>
  <c r="I364" i="1"/>
  <c r="H364" i="1"/>
  <c r="D364" i="1"/>
  <c r="C364" i="1"/>
  <c r="B364" i="1"/>
  <c r="A364" i="1"/>
  <c r="K363" i="1"/>
  <c r="J363" i="1"/>
  <c r="I363" i="1"/>
  <c r="H363" i="1"/>
  <c r="G363" i="1"/>
  <c r="D363" i="1"/>
  <c r="C363" i="1"/>
  <c r="B363" i="1"/>
  <c r="A363" i="1"/>
  <c r="K362" i="1"/>
  <c r="J362" i="1"/>
  <c r="I362" i="1"/>
  <c r="H362" i="1"/>
  <c r="G362" i="1"/>
  <c r="D362" i="1"/>
  <c r="C362" i="1"/>
  <c r="B362" i="1"/>
  <c r="A362" i="1"/>
  <c r="M361" i="1"/>
  <c r="K361" i="1"/>
  <c r="J361" i="1"/>
  <c r="I361" i="1"/>
  <c r="H361" i="1"/>
  <c r="G361" i="1"/>
  <c r="D361" i="1"/>
  <c r="B361" i="1"/>
  <c r="A361" i="1"/>
  <c r="K360" i="1"/>
  <c r="J360" i="1"/>
  <c r="I360" i="1"/>
  <c r="H360" i="1"/>
  <c r="G360" i="1"/>
  <c r="D360" i="1"/>
  <c r="C360" i="1"/>
  <c r="B360" i="1"/>
  <c r="A360" i="1"/>
  <c r="M359" i="1"/>
  <c r="K359" i="1"/>
  <c r="J359" i="1"/>
  <c r="I359" i="1"/>
  <c r="H359" i="1"/>
  <c r="G359" i="1"/>
  <c r="D359" i="1"/>
  <c r="C359" i="1"/>
  <c r="B359" i="1"/>
  <c r="A359" i="1"/>
  <c r="M357" i="1"/>
  <c r="K357" i="1"/>
  <c r="J357" i="1"/>
  <c r="I357" i="1"/>
  <c r="H357" i="1"/>
  <c r="G357" i="1"/>
  <c r="D357" i="1"/>
  <c r="C357" i="1"/>
  <c r="B357" i="1"/>
  <c r="A357" i="1"/>
  <c r="K356" i="1"/>
  <c r="J356" i="1"/>
  <c r="I356" i="1"/>
  <c r="H356" i="1"/>
  <c r="G356" i="1"/>
  <c r="D356" i="1"/>
  <c r="C356" i="1"/>
  <c r="B356" i="1"/>
  <c r="A356" i="1"/>
  <c r="M355" i="1"/>
  <c r="K355" i="1"/>
  <c r="J355" i="1"/>
  <c r="I355" i="1"/>
  <c r="H355" i="1"/>
  <c r="D355" i="1"/>
  <c r="C355" i="1"/>
  <c r="B355" i="1"/>
  <c r="A355" i="1"/>
  <c r="K354" i="1"/>
  <c r="J354" i="1"/>
  <c r="I354" i="1"/>
  <c r="H354" i="1"/>
  <c r="G354" i="1"/>
  <c r="D354" i="1"/>
  <c r="C354" i="1"/>
  <c r="B354" i="1"/>
  <c r="A354" i="1"/>
  <c r="K353" i="1"/>
  <c r="J353" i="1"/>
  <c r="I353" i="1"/>
  <c r="H353" i="1"/>
  <c r="G353" i="1"/>
  <c r="D353" i="1"/>
  <c r="C353" i="1"/>
  <c r="B353" i="1"/>
  <c r="A353" i="1"/>
  <c r="M352" i="1"/>
  <c r="K352" i="1"/>
  <c r="J352" i="1"/>
  <c r="I352" i="1"/>
  <c r="H352" i="1"/>
  <c r="G352" i="1"/>
  <c r="D352" i="1"/>
  <c r="C352" i="1"/>
  <c r="B352" i="1"/>
  <c r="A352" i="1"/>
  <c r="K351" i="1"/>
  <c r="J351" i="1"/>
  <c r="I351" i="1"/>
  <c r="H351" i="1"/>
  <c r="G351" i="1"/>
  <c r="D351" i="1"/>
  <c r="C351" i="1"/>
  <c r="B351" i="1"/>
  <c r="A351" i="1"/>
  <c r="M350" i="1"/>
  <c r="K350" i="1"/>
  <c r="J350" i="1"/>
  <c r="I350" i="1"/>
  <c r="H350" i="1"/>
  <c r="G350" i="1"/>
  <c r="D350" i="1"/>
  <c r="C350" i="1"/>
  <c r="B350" i="1"/>
  <c r="A350" i="1"/>
  <c r="M349" i="1"/>
  <c r="K349" i="1"/>
  <c r="J349" i="1"/>
  <c r="I349" i="1"/>
  <c r="H349" i="1"/>
  <c r="D349" i="1"/>
  <c r="C349" i="1"/>
  <c r="B349" i="1"/>
  <c r="A349" i="1"/>
  <c r="K348" i="1"/>
  <c r="J348" i="1"/>
  <c r="I348" i="1"/>
  <c r="H348" i="1"/>
  <c r="G348" i="1"/>
  <c r="D348" i="1"/>
  <c r="B348" i="1"/>
  <c r="A348" i="1"/>
  <c r="K347" i="1"/>
  <c r="J347" i="1"/>
  <c r="I347" i="1"/>
  <c r="H347" i="1"/>
  <c r="G347" i="1"/>
  <c r="D347" i="1"/>
  <c r="C347" i="1"/>
  <c r="B347" i="1"/>
  <c r="A347" i="1"/>
  <c r="K346" i="1"/>
  <c r="J346" i="1"/>
  <c r="I346" i="1"/>
  <c r="H346" i="1"/>
  <c r="D346" i="1"/>
  <c r="B346" i="1"/>
  <c r="A346" i="1"/>
  <c r="M344" i="1"/>
  <c r="K344" i="1"/>
  <c r="J344" i="1"/>
  <c r="I344" i="1"/>
  <c r="H344" i="1"/>
  <c r="G344" i="1"/>
  <c r="D344" i="1"/>
  <c r="C344" i="1"/>
  <c r="B344" i="1"/>
  <c r="A344" i="1"/>
  <c r="M343" i="1"/>
  <c r="K343" i="1"/>
  <c r="J343" i="1"/>
  <c r="I343" i="1"/>
  <c r="H343" i="1"/>
  <c r="G343" i="1"/>
  <c r="D343" i="1"/>
  <c r="C343" i="1"/>
  <c r="B343" i="1"/>
  <c r="A343" i="1"/>
  <c r="M340" i="1"/>
  <c r="K340" i="1"/>
  <c r="J340" i="1"/>
  <c r="I340" i="1"/>
  <c r="H340" i="1"/>
  <c r="D340" i="1"/>
  <c r="C340" i="1"/>
  <c r="B340" i="1"/>
  <c r="A340" i="1"/>
  <c r="K339" i="1"/>
  <c r="J339" i="1"/>
  <c r="I339" i="1"/>
  <c r="H339" i="1"/>
  <c r="G339" i="1"/>
  <c r="D339" i="1"/>
  <c r="C339" i="1"/>
  <c r="B339" i="1"/>
  <c r="A339" i="1"/>
  <c r="M338" i="1"/>
  <c r="K338" i="1"/>
  <c r="J338" i="1"/>
  <c r="I338" i="1"/>
  <c r="H338" i="1"/>
  <c r="G338" i="1"/>
  <c r="D338" i="1"/>
  <c r="C338" i="1"/>
  <c r="B338" i="1"/>
  <c r="A338" i="1"/>
  <c r="M337" i="1"/>
  <c r="K337" i="1"/>
  <c r="J337" i="1"/>
  <c r="I337" i="1"/>
  <c r="H337" i="1"/>
  <c r="G337" i="1"/>
  <c r="D337" i="1"/>
  <c r="C337" i="1"/>
  <c r="B337" i="1"/>
  <c r="A337" i="1"/>
  <c r="K336" i="1"/>
  <c r="J336" i="1"/>
  <c r="I336" i="1"/>
  <c r="H336" i="1"/>
  <c r="G336" i="1"/>
  <c r="D336" i="1"/>
  <c r="C336" i="1"/>
  <c r="B336" i="1"/>
  <c r="A336" i="1"/>
  <c r="K335" i="1"/>
  <c r="J335" i="1"/>
  <c r="I335" i="1"/>
  <c r="H335" i="1"/>
  <c r="G335" i="1"/>
  <c r="D335" i="1"/>
  <c r="C335" i="1"/>
  <c r="B335" i="1"/>
  <c r="A335" i="1"/>
  <c r="M334" i="1"/>
  <c r="K334" i="1"/>
  <c r="J334" i="1"/>
  <c r="I334" i="1"/>
  <c r="H334" i="1"/>
  <c r="D334" i="1"/>
  <c r="C334" i="1"/>
  <c r="B334" i="1"/>
  <c r="A334" i="1"/>
  <c r="K333" i="1"/>
  <c r="J333" i="1"/>
  <c r="I333" i="1"/>
  <c r="H333" i="1"/>
  <c r="G333" i="1"/>
  <c r="D333" i="1"/>
  <c r="C333" i="1"/>
  <c r="B333" i="1"/>
  <c r="A333" i="1"/>
  <c r="K332" i="1"/>
  <c r="J332" i="1"/>
  <c r="I332" i="1"/>
  <c r="H332" i="1"/>
  <c r="G332" i="1"/>
  <c r="D332" i="1"/>
  <c r="C332" i="1"/>
  <c r="B332" i="1"/>
  <c r="A332" i="1"/>
  <c r="M331" i="1"/>
  <c r="J331" i="1"/>
  <c r="I331" i="1"/>
  <c r="D331" i="1"/>
  <c r="B331" i="1"/>
  <c r="A331" i="1"/>
  <c r="K330" i="1"/>
  <c r="J330" i="1"/>
  <c r="I330" i="1"/>
  <c r="H330" i="1"/>
  <c r="G330" i="1"/>
  <c r="D330" i="1"/>
  <c r="B330" i="1"/>
  <c r="A330" i="1"/>
  <c r="M329" i="1"/>
  <c r="K329" i="1"/>
  <c r="J329" i="1"/>
  <c r="I329" i="1"/>
  <c r="H329" i="1"/>
  <c r="G329" i="1"/>
  <c r="D329" i="1"/>
  <c r="C329" i="1"/>
  <c r="B329" i="1"/>
  <c r="A329" i="1"/>
  <c r="M328" i="1"/>
  <c r="K328" i="1"/>
  <c r="J328" i="1"/>
  <c r="I328" i="1"/>
  <c r="H328" i="1"/>
  <c r="G328" i="1"/>
  <c r="D328" i="1"/>
  <c r="C328" i="1"/>
  <c r="B328" i="1"/>
  <c r="A328" i="1"/>
  <c r="K327" i="1"/>
  <c r="J327" i="1"/>
  <c r="I327" i="1"/>
  <c r="H327" i="1"/>
  <c r="G327" i="1"/>
  <c r="D327" i="1"/>
  <c r="C327" i="1"/>
  <c r="B327" i="1"/>
  <c r="A327" i="1"/>
  <c r="M326" i="1"/>
  <c r="K326" i="1"/>
  <c r="J326" i="1"/>
  <c r="I326" i="1"/>
  <c r="H326" i="1"/>
  <c r="G326" i="1"/>
  <c r="D326" i="1"/>
  <c r="C326" i="1"/>
  <c r="B326" i="1"/>
  <c r="A326" i="1"/>
  <c r="K325" i="1"/>
  <c r="J325" i="1"/>
  <c r="I325" i="1"/>
  <c r="H325" i="1"/>
  <c r="G325" i="1"/>
  <c r="D325" i="1"/>
  <c r="C325" i="1"/>
  <c r="B325" i="1"/>
  <c r="A325" i="1"/>
  <c r="K324" i="1"/>
  <c r="J324" i="1"/>
  <c r="I324" i="1"/>
  <c r="H324" i="1"/>
  <c r="G324" i="1"/>
  <c r="D324" i="1"/>
  <c r="B324" i="1"/>
  <c r="A324" i="1"/>
  <c r="M323" i="1"/>
  <c r="K323" i="1"/>
  <c r="J323" i="1"/>
  <c r="I323" i="1"/>
  <c r="H323" i="1"/>
  <c r="G323" i="1"/>
  <c r="D323" i="1"/>
  <c r="C323" i="1"/>
  <c r="B323" i="1"/>
  <c r="A323" i="1"/>
  <c r="M322" i="1"/>
  <c r="K322" i="1"/>
  <c r="J322" i="1"/>
  <c r="I322" i="1"/>
  <c r="H322" i="1"/>
  <c r="G322" i="1"/>
  <c r="D322" i="1"/>
  <c r="C322" i="1"/>
  <c r="B322" i="1"/>
  <c r="A322" i="1"/>
  <c r="K321" i="1"/>
  <c r="J321" i="1"/>
  <c r="I321" i="1"/>
  <c r="H321" i="1"/>
  <c r="G321" i="1"/>
  <c r="D321" i="1"/>
  <c r="C321" i="1"/>
  <c r="B321" i="1"/>
  <c r="A321" i="1"/>
  <c r="M320" i="1"/>
  <c r="K320" i="1"/>
  <c r="J320" i="1"/>
  <c r="I320" i="1"/>
  <c r="H320" i="1"/>
  <c r="G320" i="1"/>
  <c r="D320" i="1"/>
  <c r="C320" i="1"/>
  <c r="B320" i="1"/>
  <c r="A320" i="1"/>
  <c r="K319" i="1"/>
  <c r="J319" i="1"/>
  <c r="I319" i="1"/>
  <c r="H319" i="1"/>
  <c r="G319" i="1"/>
  <c r="D319" i="1"/>
  <c r="C319" i="1"/>
  <c r="B319" i="1"/>
  <c r="A319" i="1"/>
  <c r="K318" i="1"/>
  <c r="J318" i="1"/>
  <c r="I318" i="1"/>
  <c r="H318" i="1"/>
  <c r="G318" i="1"/>
  <c r="D318" i="1"/>
  <c r="C318" i="1"/>
  <c r="B318" i="1"/>
  <c r="A318" i="1"/>
  <c r="M317" i="1"/>
  <c r="K317" i="1"/>
  <c r="J317" i="1"/>
  <c r="I317" i="1"/>
  <c r="H317" i="1"/>
  <c r="D317" i="1"/>
  <c r="C317" i="1"/>
  <c r="B317" i="1"/>
  <c r="A317" i="1"/>
  <c r="K316" i="1"/>
  <c r="J316" i="1"/>
  <c r="I316" i="1"/>
  <c r="H316" i="1"/>
  <c r="G316" i="1"/>
  <c r="D316" i="1"/>
  <c r="C316" i="1"/>
  <c r="B316" i="1"/>
  <c r="A316" i="1"/>
  <c r="M315" i="1"/>
  <c r="K315" i="1"/>
  <c r="J315" i="1"/>
  <c r="I315" i="1"/>
  <c r="H315" i="1"/>
  <c r="G315" i="1"/>
  <c r="D315" i="1"/>
  <c r="C315" i="1"/>
  <c r="B315" i="1"/>
  <c r="A315" i="1"/>
  <c r="M314" i="1"/>
  <c r="K314" i="1"/>
  <c r="J314" i="1"/>
  <c r="I314" i="1"/>
  <c r="H314" i="1"/>
  <c r="G314" i="1"/>
  <c r="D314" i="1"/>
  <c r="C314" i="1"/>
  <c r="B314" i="1"/>
  <c r="A314" i="1"/>
  <c r="K313" i="1"/>
  <c r="J313" i="1"/>
  <c r="I313" i="1"/>
  <c r="H313" i="1"/>
  <c r="D313" i="1"/>
  <c r="C313" i="1"/>
  <c r="B313" i="1"/>
  <c r="A313" i="1"/>
  <c r="M312" i="1"/>
  <c r="K312" i="1"/>
  <c r="J312" i="1"/>
  <c r="I312" i="1"/>
  <c r="H312" i="1"/>
  <c r="D312" i="1"/>
  <c r="C312" i="1"/>
  <c r="B312" i="1"/>
  <c r="A312" i="1"/>
  <c r="M311" i="1"/>
  <c r="K311" i="1"/>
  <c r="J311" i="1"/>
  <c r="I311" i="1"/>
  <c r="H311" i="1"/>
  <c r="G311" i="1"/>
  <c r="D311" i="1"/>
  <c r="C311" i="1"/>
  <c r="B311" i="1"/>
  <c r="A311" i="1"/>
  <c r="K310" i="1"/>
  <c r="J310" i="1"/>
  <c r="I310" i="1"/>
  <c r="H310" i="1"/>
  <c r="G310" i="1"/>
  <c r="D310" i="1"/>
  <c r="C310" i="1"/>
  <c r="B310" i="1"/>
  <c r="A310" i="1"/>
  <c r="M309" i="1"/>
  <c r="K309" i="1"/>
  <c r="J309" i="1"/>
  <c r="I309" i="1"/>
  <c r="H309" i="1"/>
  <c r="G309" i="1"/>
  <c r="D309" i="1"/>
  <c r="C309" i="1"/>
  <c r="B309" i="1"/>
  <c r="A309" i="1"/>
  <c r="M308" i="1"/>
  <c r="K308" i="1"/>
  <c r="J308" i="1"/>
  <c r="I308" i="1"/>
  <c r="H308" i="1"/>
  <c r="G308" i="1"/>
  <c r="D308" i="1"/>
  <c r="C308" i="1"/>
  <c r="B308" i="1"/>
  <c r="A308" i="1"/>
  <c r="K307" i="1"/>
  <c r="J307" i="1"/>
  <c r="I307" i="1"/>
  <c r="H307" i="1"/>
  <c r="G307" i="1"/>
  <c r="D307" i="1"/>
  <c r="C307" i="1"/>
  <c r="B307" i="1"/>
  <c r="A307" i="1"/>
  <c r="K306" i="1"/>
  <c r="J306" i="1"/>
  <c r="I306" i="1"/>
  <c r="H306" i="1"/>
  <c r="G306" i="1"/>
  <c r="D306" i="1"/>
  <c r="B306" i="1"/>
  <c r="A306" i="1"/>
  <c r="K305" i="1"/>
  <c r="J305" i="1"/>
  <c r="I305" i="1"/>
  <c r="H305" i="1"/>
  <c r="G305" i="1"/>
  <c r="D305" i="1"/>
  <c r="C305" i="1"/>
  <c r="B305" i="1"/>
  <c r="A305" i="1"/>
  <c r="M303" i="1"/>
  <c r="K303" i="1"/>
  <c r="J303" i="1"/>
  <c r="I303" i="1"/>
  <c r="H303" i="1"/>
  <c r="D303" i="1"/>
  <c r="C303" i="1"/>
  <c r="B303" i="1"/>
  <c r="A303" i="1"/>
  <c r="K302" i="1"/>
  <c r="J302" i="1"/>
  <c r="I302" i="1"/>
  <c r="H302" i="1"/>
  <c r="G302" i="1"/>
  <c r="D302" i="1"/>
  <c r="C302" i="1"/>
  <c r="B302" i="1"/>
  <c r="A302" i="1"/>
  <c r="M301" i="1"/>
  <c r="K301" i="1"/>
  <c r="J301" i="1"/>
  <c r="I301" i="1"/>
  <c r="H301" i="1"/>
  <c r="G301" i="1"/>
  <c r="D301" i="1"/>
  <c r="C301" i="1"/>
  <c r="B301" i="1"/>
  <c r="A301" i="1"/>
  <c r="M300" i="1"/>
  <c r="K300" i="1"/>
  <c r="J300" i="1"/>
  <c r="I300" i="1"/>
  <c r="H300" i="1"/>
  <c r="G300" i="1"/>
  <c r="D300" i="1"/>
  <c r="C300" i="1"/>
  <c r="B300" i="1"/>
  <c r="A300" i="1"/>
  <c r="K299" i="1"/>
  <c r="J299" i="1"/>
  <c r="I299" i="1"/>
  <c r="H299" i="1"/>
  <c r="G299" i="1"/>
  <c r="D299" i="1"/>
  <c r="C299" i="1"/>
  <c r="B299" i="1"/>
  <c r="A299" i="1"/>
  <c r="K298" i="1"/>
  <c r="J298" i="1"/>
  <c r="I298" i="1"/>
  <c r="H298" i="1"/>
  <c r="G298" i="1"/>
  <c r="D298" i="1"/>
  <c r="C298" i="1"/>
  <c r="B298" i="1"/>
  <c r="A298" i="1"/>
  <c r="M297" i="1"/>
  <c r="K297" i="1"/>
  <c r="J297" i="1"/>
  <c r="I297" i="1"/>
  <c r="H297" i="1"/>
  <c r="G297" i="1"/>
  <c r="D297" i="1"/>
  <c r="C297" i="1"/>
  <c r="B297" i="1"/>
  <c r="A297" i="1"/>
  <c r="M296" i="1"/>
  <c r="K296" i="1"/>
  <c r="J296" i="1"/>
  <c r="I296" i="1"/>
  <c r="H296" i="1"/>
  <c r="G296" i="1"/>
  <c r="D296" i="1"/>
  <c r="C296" i="1"/>
  <c r="B296" i="1"/>
  <c r="A296" i="1"/>
  <c r="K295" i="1"/>
  <c r="J295" i="1"/>
  <c r="I295" i="1"/>
  <c r="H295" i="1"/>
  <c r="G295" i="1"/>
  <c r="D295" i="1"/>
  <c r="C295" i="1"/>
  <c r="B295" i="1"/>
  <c r="A295" i="1"/>
  <c r="K294" i="1"/>
  <c r="J294" i="1"/>
  <c r="I294" i="1"/>
  <c r="H294" i="1"/>
  <c r="G294" i="1"/>
  <c r="D294" i="1"/>
  <c r="C294" i="1"/>
  <c r="B294" i="1"/>
  <c r="A294" i="1"/>
  <c r="K293" i="1"/>
  <c r="J293" i="1"/>
  <c r="I293" i="1"/>
  <c r="H293" i="1"/>
  <c r="G293" i="1"/>
  <c r="D293" i="1"/>
  <c r="C293" i="1"/>
  <c r="B293" i="1"/>
  <c r="A293" i="1"/>
  <c r="K292" i="1"/>
  <c r="J292" i="1"/>
  <c r="I292" i="1"/>
  <c r="H292" i="1"/>
  <c r="G292" i="1"/>
  <c r="D292" i="1"/>
  <c r="B292" i="1"/>
  <c r="A292" i="1"/>
  <c r="K290" i="1"/>
  <c r="J290" i="1"/>
  <c r="I290" i="1"/>
  <c r="H290" i="1"/>
  <c r="G290" i="1"/>
  <c r="D290" i="1"/>
  <c r="C290" i="1"/>
  <c r="B290" i="1"/>
  <c r="A290" i="1"/>
  <c r="M289" i="1"/>
  <c r="K289" i="1"/>
  <c r="J289" i="1"/>
  <c r="I289" i="1"/>
  <c r="H289" i="1"/>
  <c r="G289" i="1"/>
  <c r="D289" i="1"/>
  <c r="C289" i="1"/>
  <c r="B289" i="1"/>
  <c r="A289" i="1"/>
  <c r="K288" i="1"/>
  <c r="J288" i="1"/>
  <c r="I288" i="1"/>
  <c r="H288" i="1"/>
  <c r="G288" i="1"/>
  <c r="D288" i="1"/>
  <c r="C288" i="1"/>
  <c r="B288" i="1"/>
  <c r="A288" i="1"/>
  <c r="K287" i="1"/>
  <c r="J287" i="1"/>
  <c r="I287" i="1"/>
  <c r="H287" i="1"/>
  <c r="G287" i="1"/>
  <c r="D287" i="1"/>
  <c r="C287" i="1"/>
  <c r="B287" i="1"/>
  <c r="A287" i="1"/>
  <c r="M286" i="1"/>
  <c r="K286" i="1"/>
  <c r="J286" i="1"/>
  <c r="I286" i="1"/>
  <c r="H286" i="1"/>
  <c r="G286" i="1"/>
  <c r="D286" i="1"/>
  <c r="C286" i="1"/>
  <c r="B286" i="1"/>
  <c r="A286" i="1"/>
  <c r="M285" i="1"/>
  <c r="K285" i="1"/>
  <c r="J285" i="1"/>
  <c r="I285" i="1"/>
  <c r="H285" i="1"/>
  <c r="D285" i="1"/>
  <c r="C285" i="1"/>
  <c r="B285" i="1"/>
  <c r="A285" i="1"/>
  <c r="M284" i="1"/>
  <c r="K284" i="1"/>
  <c r="J284" i="1"/>
  <c r="I284" i="1"/>
  <c r="H284" i="1"/>
  <c r="G284" i="1"/>
  <c r="D284" i="1"/>
  <c r="C284" i="1"/>
  <c r="B284" i="1"/>
  <c r="A284" i="1"/>
  <c r="M283" i="1"/>
  <c r="K283" i="1"/>
  <c r="J283" i="1"/>
  <c r="I283" i="1"/>
  <c r="H283" i="1"/>
  <c r="G283" i="1"/>
  <c r="D283" i="1"/>
  <c r="C283" i="1"/>
  <c r="B283" i="1"/>
  <c r="A283" i="1"/>
  <c r="K282" i="1"/>
  <c r="J282" i="1"/>
  <c r="I282" i="1"/>
  <c r="H282" i="1"/>
  <c r="G282" i="1"/>
  <c r="D282" i="1"/>
  <c r="C282" i="1"/>
  <c r="B282" i="1"/>
  <c r="A282" i="1"/>
  <c r="K281" i="1"/>
  <c r="J281" i="1"/>
  <c r="I281" i="1"/>
  <c r="H281" i="1"/>
  <c r="G281" i="1"/>
  <c r="D281" i="1"/>
  <c r="C281" i="1"/>
  <c r="B281" i="1"/>
  <c r="A281" i="1"/>
  <c r="K280" i="1"/>
  <c r="J280" i="1"/>
  <c r="I280" i="1"/>
  <c r="H280" i="1"/>
  <c r="G280" i="1"/>
  <c r="D280" i="1"/>
  <c r="C280" i="1"/>
  <c r="B280" i="1"/>
  <c r="A280" i="1"/>
  <c r="K279" i="1"/>
  <c r="J279" i="1"/>
  <c r="I279" i="1"/>
  <c r="H279" i="1"/>
  <c r="G279" i="1"/>
  <c r="D279" i="1"/>
  <c r="C279" i="1"/>
  <c r="B279" i="1"/>
  <c r="A279" i="1"/>
  <c r="M278" i="1"/>
  <c r="K278" i="1"/>
  <c r="J278" i="1"/>
  <c r="I278" i="1"/>
  <c r="H278" i="1"/>
  <c r="D278" i="1"/>
  <c r="B278" i="1"/>
  <c r="A278" i="1"/>
  <c r="K277" i="1"/>
  <c r="J277" i="1"/>
  <c r="I277" i="1"/>
  <c r="H277" i="1"/>
  <c r="G277" i="1"/>
  <c r="D277" i="1"/>
  <c r="C277" i="1"/>
  <c r="B277" i="1"/>
  <c r="A277" i="1"/>
  <c r="M276" i="1"/>
  <c r="K276" i="1"/>
  <c r="J276" i="1"/>
  <c r="I276" i="1"/>
  <c r="H276" i="1"/>
  <c r="D276" i="1"/>
  <c r="C276" i="1"/>
  <c r="B276" i="1"/>
  <c r="A276" i="1"/>
  <c r="K275" i="1"/>
  <c r="J275" i="1"/>
  <c r="I275" i="1"/>
  <c r="H275" i="1"/>
  <c r="G275" i="1"/>
  <c r="D275" i="1"/>
  <c r="C275" i="1"/>
  <c r="B275" i="1"/>
  <c r="A275" i="1"/>
  <c r="K274" i="1"/>
  <c r="J274" i="1"/>
  <c r="I274" i="1"/>
  <c r="H274" i="1"/>
  <c r="G274" i="1"/>
  <c r="D274" i="1"/>
  <c r="C274" i="1"/>
  <c r="B274" i="1"/>
  <c r="A274" i="1"/>
  <c r="M273" i="1"/>
  <c r="K273" i="1"/>
  <c r="J273" i="1"/>
  <c r="I273" i="1"/>
  <c r="H273" i="1"/>
  <c r="D273" i="1"/>
  <c r="C273" i="1"/>
  <c r="B273" i="1"/>
  <c r="A273" i="1"/>
  <c r="M272" i="1"/>
  <c r="K272" i="1"/>
  <c r="J272" i="1"/>
  <c r="I272" i="1"/>
  <c r="H272" i="1"/>
  <c r="G272" i="1"/>
  <c r="D272" i="1"/>
  <c r="C272" i="1"/>
  <c r="B272" i="1"/>
  <c r="A272" i="1"/>
  <c r="M271" i="1"/>
  <c r="K271" i="1"/>
  <c r="J271" i="1"/>
  <c r="I271" i="1"/>
  <c r="H271" i="1"/>
  <c r="G271" i="1"/>
  <c r="D271" i="1"/>
  <c r="C271" i="1"/>
  <c r="B271" i="1"/>
  <c r="A271" i="1"/>
  <c r="M269" i="1"/>
  <c r="K269" i="1"/>
  <c r="J269" i="1"/>
  <c r="I269" i="1"/>
  <c r="H269" i="1"/>
  <c r="D269" i="1"/>
  <c r="C269" i="1"/>
  <c r="B269" i="1"/>
  <c r="A269" i="1"/>
  <c r="K268" i="1"/>
  <c r="J268" i="1"/>
  <c r="I268" i="1"/>
  <c r="H268" i="1"/>
  <c r="G268" i="1"/>
  <c r="D268" i="1"/>
  <c r="C268" i="1"/>
  <c r="B268" i="1"/>
  <c r="A268" i="1"/>
  <c r="M267" i="1"/>
  <c r="K267" i="1"/>
  <c r="J267" i="1"/>
  <c r="I267" i="1"/>
  <c r="H267" i="1"/>
  <c r="G267" i="1"/>
  <c r="D267" i="1"/>
  <c r="B267" i="1"/>
  <c r="A267" i="1"/>
  <c r="M266" i="1"/>
  <c r="K266" i="1"/>
  <c r="J266" i="1"/>
  <c r="I266" i="1"/>
  <c r="H266" i="1"/>
  <c r="D266" i="1"/>
  <c r="C266" i="1"/>
  <c r="B266" i="1"/>
  <c r="A266" i="1"/>
  <c r="M265" i="1"/>
  <c r="K265" i="1"/>
  <c r="J265" i="1"/>
  <c r="I265" i="1"/>
  <c r="H265" i="1"/>
  <c r="G265" i="1"/>
  <c r="D265" i="1"/>
  <c r="C265" i="1"/>
  <c r="B265" i="1"/>
  <c r="A265" i="1"/>
  <c r="M264" i="1"/>
  <c r="K264" i="1"/>
  <c r="J264" i="1"/>
  <c r="I264" i="1"/>
  <c r="H264" i="1"/>
  <c r="G264" i="1"/>
  <c r="D264" i="1"/>
  <c r="C264" i="1"/>
  <c r="B264" i="1"/>
  <c r="A264" i="1"/>
  <c r="K263" i="1"/>
  <c r="J263" i="1"/>
  <c r="I263" i="1"/>
  <c r="H263" i="1"/>
  <c r="G263" i="1"/>
  <c r="D263" i="1"/>
  <c r="C263" i="1"/>
  <c r="B263" i="1"/>
  <c r="A263" i="1"/>
  <c r="K262" i="1"/>
  <c r="J262" i="1"/>
  <c r="I262" i="1"/>
  <c r="H262" i="1"/>
  <c r="G262" i="1"/>
  <c r="D262" i="1"/>
  <c r="C262" i="1"/>
  <c r="B262" i="1"/>
  <c r="A262" i="1"/>
  <c r="K261" i="1"/>
  <c r="J261" i="1"/>
  <c r="I261" i="1"/>
  <c r="H261" i="1"/>
  <c r="G261" i="1"/>
  <c r="D261" i="1"/>
  <c r="C261" i="1"/>
  <c r="B261" i="1"/>
  <c r="A261" i="1"/>
  <c r="K260" i="1"/>
  <c r="J260" i="1"/>
  <c r="I260" i="1"/>
  <c r="H260" i="1"/>
  <c r="G260" i="1"/>
  <c r="D260" i="1"/>
  <c r="C260" i="1"/>
  <c r="B260" i="1"/>
  <c r="A260" i="1"/>
  <c r="K258" i="1"/>
  <c r="J258" i="1"/>
  <c r="I258" i="1"/>
  <c r="H258" i="1"/>
  <c r="G258" i="1"/>
  <c r="D258" i="1"/>
  <c r="C258" i="1"/>
  <c r="B258" i="1"/>
  <c r="A258" i="1"/>
  <c r="K256" i="1"/>
  <c r="J256" i="1"/>
  <c r="I256" i="1"/>
  <c r="H256" i="1"/>
  <c r="G256" i="1"/>
  <c r="D256" i="1"/>
  <c r="C256" i="1"/>
  <c r="B256" i="1"/>
  <c r="A256" i="1"/>
  <c r="K255" i="1"/>
  <c r="J255" i="1"/>
  <c r="I255" i="1"/>
  <c r="H255" i="1"/>
  <c r="G255" i="1"/>
  <c r="D255" i="1"/>
  <c r="C255" i="1"/>
  <c r="B255" i="1"/>
  <c r="A255" i="1"/>
  <c r="M254" i="1"/>
  <c r="K254" i="1"/>
  <c r="J254" i="1"/>
  <c r="I254" i="1"/>
  <c r="H254" i="1"/>
  <c r="G254" i="1"/>
  <c r="D254" i="1"/>
  <c r="C254" i="1"/>
  <c r="B254" i="1"/>
  <c r="A254" i="1"/>
  <c r="K253" i="1"/>
  <c r="J253" i="1"/>
  <c r="I253" i="1"/>
  <c r="H253" i="1"/>
  <c r="G253" i="1"/>
  <c r="D253" i="1"/>
  <c r="C253" i="1"/>
  <c r="B253" i="1"/>
  <c r="A253" i="1"/>
  <c r="K252" i="1"/>
  <c r="J252" i="1"/>
  <c r="I252" i="1"/>
  <c r="H252" i="1"/>
  <c r="G252" i="1"/>
  <c r="D252" i="1"/>
  <c r="C252" i="1"/>
  <c r="B252" i="1"/>
  <c r="A252" i="1"/>
  <c r="K251" i="1"/>
  <c r="J251" i="1"/>
  <c r="I251" i="1"/>
  <c r="G251" i="1"/>
  <c r="D251" i="1"/>
  <c r="C251" i="1"/>
  <c r="B251" i="1"/>
  <c r="A251" i="1"/>
  <c r="M249" i="1"/>
  <c r="K249" i="1"/>
  <c r="J249" i="1"/>
  <c r="I249" i="1"/>
  <c r="H249" i="1"/>
  <c r="D249" i="1"/>
  <c r="C249" i="1"/>
  <c r="B249" i="1"/>
  <c r="A249" i="1"/>
  <c r="K247" i="1"/>
  <c r="J247" i="1"/>
  <c r="I247" i="1"/>
  <c r="H247" i="1"/>
  <c r="G247" i="1"/>
  <c r="D247" i="1"/>
  <c r="C247" i="1"/>
  <c r="B247" i="1"/>
  <c r="A247" i="1"/>
  <c r="M246" i="1"/>
  <c r="K246" i="1"/>
  <c r="J246" i="1"/>
  <c r="I246" i="1"/>
  <c r="H246" i="1"/>
  <c r="G246" i="1"/>
  <c r="D246" i="1"/>
  <c r="C246" i="1"/>
  <c r="B246" i="1"/>
  <c r="A246" i="1"/>
  <c r="H245" i="1"/>
  <c r="M244" i="1"/>
  <c r="K244" i="1"/>
  <c r="J244" i="1"/>
  <c r="I244" i="1"/>
  <c r="H244" i="1"/>
  <c r="G244" i="1"/>
  <c r="D244" i="1"/>
  <c r="C244" i="1"/>
  <c r="B244" i="1"/>
  <c r="A244" i="1"/>
  <c r="M242" i="1"/>
  <c r="K242" i="1"/>
  <c r="J242" i="1"/>
  <c r="I242" i="1"/>
  <c r="H242" i="1"/>
  <c r="G242" i="1"/>
  <c r="D242" i="1"/>
  <c r="C242" i="1"/>
  <c r="B242" i="1"/>
  <c r="A242" i="1"/>
  <c r="K241" i="1"/>
  <c r="J241" i="1"/>
  <c r="I241" i="1"/>
  <c r="H241" i="1"/>
  <c r="G241" i="1"/>
  <c r="D241" i="1"/>
  <c r="C241" i="1"/>
  <c r="B241" i="1"/>
  <c r="A241" i="1"/>
  <c r="K240" i="1"/>
  <c r="J240" i="1"/>
  <c r="I240" i="1"/>
  <c r="H240" i="1"/>
  <c r="G240" i="1"/>
  <c r="D240" i="1"/>
  <c r="C240" i="1"/>
  <c r="B240" i="1"/>
  <c r="A240" i="1"/>
  <c r="K239" i="1"/>
  <c r="J239" i="1"/>
  <c r="I239" i="1"/>
  <c r="H239" i="1"/>
  <c r="G239" i="1"/>
  <c r="D239" i="1"/>
  <c r="C239" i="1"/>
  <c r="B239" i="1"/>
  <c r="A239" i="1"/>
  <c r="M238" i="1"/>
  <c r="K238" i="1"/>
  <c r="J238" i="1"/>
  <c r="I238" i="1"/>
  <c r="H238" i="1"/>
  <c r="G238" i="1"/>
  <c r="D238" i="1"/>
  <c r="C238" i="1"/>
  <c r="B238" i="1"/>
  <c r="A238" i="1"/>
  <c r="M237" i="1"/>
  <c r="K237" i="1"/>
  <c r="J237" i="1"/>
  <c r="I237" i="1"/>
  <c r="H237" i="1"/>
  <c r="G237" i="1"/>
  <c r="D237" i="1"/>
  <c r="C237" i="1"/>
  <c r="B237" i="1"/>
  <c r="A237" i="1"/>
  <c r="M236" i="1"/>
  <c r="K236" i="1"/>
  <c r="J236" i="1"/>
  <c r="I236" i="1"/>
  <c r="H236" i="1"/>
  <c r="G236" i="1"/>
  <c r="D236" i="1"/>
  <c r="C236" i="1"/>
  <c r="B236" i="1"/>
  <c r="A236" i="1"/>
  <c r="K235" i="1"/>
  <c r="J235" i="1"/>
  <c r="I235" i="1"/>
  <c r="H235" i="1"/>
  <c r="D235" i="1"/>
  <c r="C235" i="1"/>
  <c r="B235" i="1"/>
  <c r="A235" i="1"/>
  <c r="K233" i="1"/>
  <c r="J233" i="1"/>
  <c r="I233" i="1"/>
  <c r="H233" i="1"/>
  <c r="G233" i="1"/>
  <c r="D233" i="1"/>
  <c r="C233" i="1"/>
  <c r="B233" i="1"/>
  <c r="A233" i="1"/>
  <c r="K232" i="1"/>
  <c r="J232" i="1"/>
  <c r="I232" i="1"/>
  <c r="H232" i="1"/>
  <c r="G232" i="1"/>
  <c r="D232" i="1"/>
  <c r="C232" i="1"/>
  <c r="B232" i="1"/>
  <c r="A232" i="1"/>
  <c r="M231" i="1"/>
  <c r="K231" i="1"/>
  <c r="J231" i="1"/>
  <c r="I231" i="1"/>
  <c r="H231" i="1"/>
  <c r="G231" i="1"/>
  <c r="D231" i="1"/>
  <c r="C231" i="1"/>
  <c r="B231" i="1"/>
  <c r="A231" i="1"/>
  <c r="K230" i="1"/>
  <c r="J230" i="1"/>
  <c r="I230" i="1"/>
  <c r="H230" i="1"/>
  <c r="G230" i="1"/>
  <c r="D230" i="1"/>
  <c r="C230" i="1"/>
  <c r="B230" i="1"/>
  <c r="A230" i="1"/>
  <c r="M229" i="1"/>
  <c r="K229" i="1"/>
  <c r="J229" i="1"/>
  <c r="I229" i="1"/>
  <c r="H229" i="1"/>
  <c r="D229" i="1"/>
  <c r="C229" i="1"/>
  <c r="B229" i="1"/>
  <c r="A229" i="1"/>
  <c r="K228" i="1"/>
  <c r="J228" i="1"/>
  <c r="I228" i="1"/>
  <c r="H228" i="1"/>
  <c r="G228" i="1"/>
  <c r="D228" i="1"/>
  <c r="C228" i="1"/>
  <c r="B228" i="1"/>
  <c r="A228" i="1"/>
  <c r="K227" i="1"/>
  <c r="J227" i="1"/>
  <c r="I227" i="1"/>
  <c r="H227" i="1"/>
  <c r="G227" i="1"/>
  <c r="D227" i="1"/>
  <c r="C227" i="1"/>
  <c r="B227" i="1"/>
  <c r="A227" i="1"/>
  <c r="K226" i="1"/>
  <c r="J226" i="1"/>
  <c r="I226" i="1"/>
  <c r="H226" i="1"/>
  <c r="D226" i="1"/>
  <c r="C226" i="1"/>
  <c r="B226" i="1"/>
  <c r="A226" i="1"/>
  <c r="M225" i="1"/>
  <c r="K225" i="1"/>
  <c r="J225" i="1"/>
  <c r="I225" i="1"/>
  <c r="H225" i="1"/>
  <c r="G225" i="1"/>
  <c r="D225" i="1"/>
  <c r="C225" i="1"/>
  <c r="B225" i="1"/>
  <c r="A225" i="1"/>
  <c r="K224" i="1"/>
  <c r="J224" i="1"/>
  <c r="I224" i="1"/>
  <c r="H224" i="1"/>
  <c r="G224" i="1"/>
  <c r="D224" i="1"/>
  <c r="C224" i="1"/>
  <c r="B224" i="1"/>
  <c r="A224" i="1"/>
  <c r="M223" i="1"/>
  <c r="K223" i="1"/>
  <c r="J223" i="1"/>
  <c r="I223" i="1"/>
  <c r="H223" i="1"/>
  <c r="G223" i="1"/>
  <c r="D223" i="1"/>
  <c r="C223" i="1"/>
  <c r="B223" i="1"/>
  <c r="A223" i="1"/>
  <c r="K222" i="1"/>
  <c r="J222" i="1"/>
  <c r="I222" i="1"/>
  <c r="H222" i="1"/>
  <c r="G222" i="1"/>
  <c r="D222" i="1"/>
  <c r="C222" i="1"/>
  <c r="B222" i="1"/>
  <c r="A222" i="1"/>
  <c r="K221" i="1"/>
  <c r="J221" i="1"/>
  <c r="I221" i="1"/>
  <c r="H221" i="1"/>
  <c r="G221" i="1"/>
  <c r="D221" i="1"/>
  <c r="B221" i="1"/>
  <c r="A221" i="1"/>
  <c r="M220" i="1"/>
  <c r="K220" i="1"/>
  <c r="J220" i="1"/>
  <c r="I220" i="1"/>
  <c r="H220" i="1"/>
  <c r="G220" i="1"/>
  <c r="D220" i="1"/>
  <c r="C220" i="1"/>
  <c r="B220" i="1"/>
  <c r="A220" i="1"/>
  <c r="M219" i="1"/>
  <c r="K219" i="1"/>
  <c r="J219" i="1"/>
  <c r="I219" i="1"/>
  <c r="H219" i="1"/>
  <c r="G219" i="1"/>
  <c r="D219" i="1"/>
  <c r="C219" i="1"/>
  <c r="B219" i="1"/>
  <c r="A219" i="1"/>
  <c r="K218" i="1"/>
  <c r="J218" i="1"/>
  <c r="I218" i="1"/>
  <c r="H218" i="1"/>
  <c r="G218" i="1"/>
  <c r="D218" i="1"/>
  <c r="B218" i="1"/>
  <c r="A218" i="1"/>
  <c r="K217" i="1"/>
  <c r="J217" i="1"/>
  <c r="I217" i="1"/>
  <c r="H217" i="1"/>
  <c r="G217" i="1"/>
  <c r="D217" i="1"/>
  <c r="C217" i="1"/>
  <c r="B217" i="1"/>
  <c r="A217" i="1"/>
  <c r="K216" i="1"/>
  <c r="J216" i="1"/>
  <c r="I216" i="1"/>
  <c r="H216" i="1"/>
  <c r="G216" i="1"/>
  <c r="D216" i="1"/>
  <c r="C216" i="1"/>
  <c r="B216" i="1"/>
  <c r="A216" i="1"/>
  <c r="K215" i="1"/>
  <c r="J215" i="1"/>
  <c r="I215" i="1"/>
  <c r="H215" i="1"/>
  <c r="G215" i="1"/>
  <c r="D215" i="1"/>
  <c r="C215" i="1"/>
  <c r="B215" i="1"/>
  <c r="A215" i="1"/>
  <c r="K214" i="1"/>
  <c r="J214" i="1"/>
  <c r="I214" i="1"/>
  <c r="H214" i="1"/>
  <c r="G214" i="1"/>
  <c r="D214" i="1"/>
  <c r="C214" i="1"/>
  <c r="B214" i="1"/>
  <c r="A214" i="1"/>
  <c r="K213" i="1"/>
  <c r="J213" i="1"/>
  <c r="I213" i="1"/>
  <c r="H213" i="1"/>
  <c r="G213" i="1"/>
  <c r="D213" i="1"/>
  <c r="C213" i="1"/>
  <c r="B213" i="1"/>
  <c r="A213" i="1"/>
  <c r="K212" i="1"/>
  <c r="J212" i="1"/>
  <c r="I212" i="1"/>
  <c r="H212" i="1"/>
  <c r="G212" i="1"/>
  <c r="D212" i="1"/>
  <c r="C212" i="1"/>
  <c r="B212" i="1"/>
  <c r="A212" i="1"/>
  <c r="K211" i="1"/>
  <c r="J211" i="1"/>
  <c r="I211" i="1"/>
  <c r="H211" i="1"/>
  <c r="G211" i="1"/>
  <c r="D211" i="1"/>
  <c r="C211" i="1"/>
  <c r="B211" i="1"/>
  <c r="A211" i="1"/>
  <c r="M210" i="1"/>
  <c r="K210" i="1"/>
  <c r="J210" i="1"/>
  <c r="I210" i="1"/>
  <c r="H210" i="1"/>
  <c r="G210" i="1"/>
  <c r="D210" i="1"/>
  <c r="C210" i="1"/>
  <c r="B210" i="1"/>
  <c r="A210" i="1"/>
  <c r="K209" i="1"/>
  <c r="J209" i="1"/>
  <c r="I209" i="1"/>
  <c r="H209" i="1"/>
  <c r="G209" i="1"/>
  <c r="D209" i="1"/>
  <c r="C209" i="1"/>
  <c r="B209" i="1"/>
  <c r="A209" i="1"/>
  <c r="M208" i="1"/>
  <c r="K208" i="1"/>
  <c r="J208" i="1"/>
  <c r="I208" i="1"/>
  <c r="H208" i="1"/>
  <c r="G208" i="1"/>
  <c r="D208" i="1"/>
  <c r="C208" i="1"/>
  <c r="B208" i="1"/>
  <c r="A208" i="1"/>
  <c r="K207" i="1"/>
  <c r="J207" i="1"/>
  <c r="I207" i="1"/>
  <c r="H207" i="1"/>
  <c r="G207" i="1"/>
  <c r="D207" i="1"/>
  <c r="C207" i="1"/>
  <c r="B207" i="1"/>
  <c r="A207" i="1"/>
  <c r="K206" i="1"/>
  <c r="J206" i="1"/>
  <c r="I206" i="1"/>
  <c r="H206" i="1"/>
  <c r="G206" i="1"/>
  <c r="D206" i="1"/>
  <c r="C206" i="1"/>
  <c r="B206" i="1"/>
  <c r="A206" i="1"/>
  <c r="K205" i="1"/>
  <c r="J205" i="1"/>
  <c r="I205" i="1"/>
  <c r="H205" i="1"/>
  <c r="G205" i="1"/>
  <c r="D205" i="1"/>
  <c r="C205" i="1"/>
  <c r="B205" i="1"/>
  <c r="A205" i="1"/>
  <c r="K204" i="1"/>
  <c r="J204" i="1"/>
  <c r="I204" i="1"/>
  <c r="H204" i="1"/>
  <c r="G204" i="1"/>
  <c r="D204" i="1"/>
  <c r="C204" i="1"/>
  <c r="B204" i="1"/>
  <c r="A204" i="1"/>
  <c r="K203" i="1"/>
  <c r="J203" i="1"/>
  <c r="I203" i="1"/>
  <c r="H203" i="1"/>
  <c r="G203" i="1"/>
  <c r="D203" i="1"/>
  <c r="C203" i="1"/>
  <c r="B203" i="1"/>
  <c r="A203" i="1"/>
  <c r="K202" i="1"/>
  <c r="J202" i="1"/>
  <c r="I202" i="1"/>
  <c r="H202" i="1"/>
  <c r="G202" i="1"/>
  <c r="D202" i="1"/>
  <c r="C202" i="1"/>
  <c r="B202" i="1"/>
  <c r="A202" i="1"/>
  <c r="K201" i="1"/>
  <c r="J201" i="1"/>
  <c r="I201" i="1"/>
  <c r="H201" i="1"/>
  <c r="G201" i="1"/>
  <c r="D201" i="1"/>
  <c r="C201" i="1"/>
  <c r="B201" i="1"/>
  <c r="A201" i="1"/>
  <c r="K198" i="1"/>
  <c r="J198" i="1"/>
  <c r="I198" i="1"/>
  <c r="H198" i="1"/>
  <c r="D198" i="1"/>
  <c r="C198" i="1"/>
  <c r="B198" i="1"/>
  <c r="A198" i="1"/>
  <c r="K196" i="1"/>
  <c r="J196" i="1"/>
  <c r="I196" i="1"/>
  <c r="H196" i="1"/>
  <c r="G196" i="1"/>
  <c r="D196" i="1"/>
  <c r="C196" i="1"/>
  <c r="B196" i="1"/>
  <c r="A196" i="1"/>
  <c r="K195" i="1"/>
  <c r="J195" i="1"/>
  <c r="I195" i="1"/>
  <c r="H195" i="1"/>
  <c r="G195" i="1"/>
  <c r="D195" i="1"/>
  <c r="C195" i="1"/>
  <c r="B195" i="1"/>
  <c r="A195" i="1"/>
  <c r="K194" i="1"/>
  <c r="J194" i="1"/>
  <c r="I194" i="1"/>
  <c r="H194" i="1"/>
  <c r="G194" i="1"/>
  <c r="D194" i="1"/>
  <c r="C194" i="1"/>
  <c r="B194" i="1"/>
  <c r="A194" i="1"/>
  <c r="M193" i="1"/>
  <c r="K193" i="1"/>
  <c r="J193" i="1"/>
  <c r="I193" i="1"/>
  <c r="H193" i="1"/>
  <c r="G193" i="1"/>
  <c r="D193" i="1"/>
  <c r="C193" i="1"/>
  <c r="B193" i="1"/>
  <c r="A193" i="1"/>
  <c r="K192" i="1"/>
  <c r="J192" i="1"/>
  <c r="I192" i="1"/>
  <c r="H192" i="1"/>
  <c r="D192" i="1"/>
  <c r="C192" i="1"/>
  <c r="B192" i="1"/>
  <c r="A192" i="1"/>
  <c r="M191" i="1"/>
  <c r="K191" i="1"/>
  <c r="J191" i="1"/>
  <c r="I191" i="1"/>
  <c r="H191" i="1"/>
  <c r="G191" i="1"/>
  <c r="D191" i="1"/>
  <c r="C191" i="1"/>
  <c r="B191" i="1"/>
  <c r="A191" i="1"/>
  <c r="M189" i="1"/>
  <c r="K189" i="1"/>
  <c r="J189" i="1"/>
  <c r="I189" i="1"/>
  <c r="H189" i="1"/>
  <c r="G189" i="1"/>
  <c r="D189" i="1"/>
  <c r="C189" i="1"/>
  <c r="B189" i="1"/>
  <c r="A189" i="1"/>
  <c r="K188" i="1"/>
  <c r="J188" i="1"/>
  <c r="I188" i="1"/>
  <c r="H188" i="1"/>
  <c r="G188" i="1"/>
  <c r="D188" i="1"/>
  <c r="C188" i="1"/>
  <c r="B188" i="1"/>
  <c r="A188" i="1"/>
  <c r="K187" i="1"/>
  <c r="J187" i="1"/>
  <c r="I187" i="1"/>
  <c r="H187" i="1"/>
  <c r="G187" i="1"/>
  <c r="D187" i="1"/>
  <c r="C187" i="1"/>
  <c r="B187" i="1"/>
  <c r="A187" i="1"/>
  <c r="K186" i="1"/>
  <c r="J186" i="1"/>
  <c r="I186" i="1"/>
  <c r="H186" i="1"/>
  <c r="G186" i="1"/>
  <c r="D186" i="1"/>
  <c r="C186" i="1"/>
  <c r="B186" i="1"/>
  <c r="A186" i="1"/>
  <c r="K185" i="1"/>
  <c r="J185" i="1"/>
  <c r="I185" i="1"/>
  <c r="H185" i="1"/>
  <c r="G185" i="1"/>
  <c r="D185" i="1"/>
  <c r="C185" i="1"/>
  <c r="B185" i="1"/>
  <c r="A185" i="1"/>
  <c r="K184" i="1"/>
  <c r="J184" i="1"/>
  <c r="H184" i="1"/>
  <c r="G184" i="1"/>
  <c r="D184" i="1"/>
  <c r="B184" i="1"/>
  <c r="A184" i="1"/>
  <c r="K182" i="1"/>
  <c r="J182" i="1"/>
  <c r="I182" i="1"/>
  <c r="H182" i="1"/>
  <c r="G182" i="1"/>
  <c r="D182" i="1"/>
  <c r="C182" i="1"/>
  <c r="B182" i="1"/>
  <c r="A182" i="1"/>
  <c r="K181" i="1"/>
  <c r="J181" i="1"/>
  <c r="I181" i="1"/>
  <c r="H181" i="1"/>
  <c r="G181" i="1"/>
  <c r="D181" i="1"/>
  <c r="C181" i="1"/>
  <c r="B181" i="1"/>
  <c r="A181" i="1"/>
  <c r="M180" i="1"/>
  <c r="K180" i="1"/>
  <c r="J180" i="1"/>
  <c r="I180" i="1"/>
  <c r="H180" i="1"/>
  <c r="G180" i="1"/>
  <c r="D180" i="1"/>
  <c r="C180" i="1"/>
  <c r="B180" i="1"/>
  <c r="A180" i="1"/>
  <c r="K179" i="1"/>
  <c r="J179" i="1"/>
  <c r="I179" i="1"/>
  <c r="H179" i="1"/>
  <c r="G179" i="1"/>
  <c r="D179" i="1"/>
  <c r="C179" i="1"/>
  <c r="B179" i="1"/>
  <c r="A179" i="1"/>
  <c r="K178" i="1"/>
  <c r="J178" i="1"/>
  <c r="I178" i="1"/>
  <c r="H178" i="1"/>
  <c r="G178" i="1"/>
  <c r="D178" i="1"/>
  <c r="C178" i="1"/>
  <c r="B178" i="1"/>
  <c r="A178" i="1"/>
  <c r="K177" i="1"/>
  <c r="J177" i="1"/>
  <c r="I177" i="1"/>
  <c r="H177" i="1"/>
  <c r="G177" i="1"/>
  <c r="D177" i="1"/>
  <c r="C177" i="1"/>
  <c r="B177" i="1"/>
  <c r="A177" i="1"/>
  <c r="K175" i="1"/>
  <c r="J175" i="1"/>
  <c r="I175" i="1"/>
  <c r="H175" i="1"/>
  <c r="G175" i="1"/>
  <c r="D175" i="1"/>
  <c r="C175" i="1"/>
  <c r="B175" i="1"/>
  <c r="A175" i="1"/>
  <c r="K174" i="1"/>
  <c r="J174" i="1"/>
  <c r="I174" i="1"/>
  <c r="H174" i="1"/>
  <c r="D174" i="1"/>
  <c r="C174" i="1"/>
  <c r="B174" i="1"/>
  <c r="A174" i="1"/>
  <c r="M173" i="1"/>
  <c r="K173" i="1"/>
  <c r="J173" i="1"/>
  <c r="I173" i="1"/>
  <c r="H173" i="1"/>
  <c r="G173" i="1"/>
  <c r="D173" i="1"/>
  <c r="C173" i="1"/>
  <c r="B173" i="1"/>
  <c r="A173" i="1"/>
  <c r="M172" i="1"/>
  <c r="K172" i="1"/>
  <c r="J172" i="1"/>
  <c r="I172" i="1"/>
  <c r="H172" i="1"/>
  <c r="G172" i="1"/>
  <c r="D172" i="1"/>
  <c r="C172" i="1"/>
  <c r="B172" i="1"/>
  <c r="A172" i="1"/>
  <c r="M171" i="1"/>
  <c r="K171" i="1"/>
  <c r="J171" i="1"/>
  <c r="I171" i="1"/>
  <c r="H171" i="1"/>
  <c r="D171" i="1"/>
  <c r="C171" i="1"/>
  <c r="B171" i="1"/>
  <c r="A171" i="1"/>
  <c r="M170" i="1"/>
  <c r="K170" i="1"/>
  <c r="J170" i="1"/>
  <c r="I170" i="1"/>
  <c r="H170" i="1"/>
  <c r="D170" i="1"/>
  <c r="C170" i="1"/>
  <c r="B170" i="1"/>
  <c r="A170" i="1"/>
  <c r="M169" i="1"/>
  <c r="K169" i="1"/>
  <c r="J169" i="1"/>
  <c r="I169" i="1"/>
  <c r="H169" i="1"/>
  <c r="G169" i="1"/>
  <c r="D169" i="1"/>
  <c r="C169" i="1"/>
  <c r="B169" i="1"/>
  <c r="A169" i="1"/>
  <c r="K168" i="1"/>
  <c r="J168" i="1"/>
  <c r="I168" i="1"/>
  <c r="H168" i="1"/>
  <c r="G168" i="1"/>
  <c r="D168" i="1"/>
  <c r="C168" i="1"/>
  <c r="B168" i="1"/>
  <c r="A168" i="1"/>
  <c r="K166" i="1"/>
  <c r="J166" i="1"/>
  <c r="I166" i="1"/>
  <c r="H166" i="1"/>
  <c r="G166" i="1"/>
  <c r="D166" i="1"/>
  <c r="C166" i="1"/>
  <c r="B166" i="1"/>
  <c r="A166" i="1"/>
  <c r="K165" i="1"/>
  <c r="J165" i="1"/>
  <c r="I165" i="1"/>
  <c r="H165" i="1"/>
  <c r="G165" i="1"/>
  <c r="D165" i="1"/>
  <c r="C165" i="1"/>
  <c r="B165" i="1"/>
  <c r="A165" i="1"/>
  <c r="M164" i="1"/>
  <c r="K164" i="1"/>
  <c r="J164" i="1"/>
  <c r="I164" i="1"/>
  <c r="H164" i="1"/>
  <c r="D164" i="1"/>
  <c r="C164" i="1"/>
  <c r="B164" i="1"/>
  <c r="A164" i="1"/>
  <c r="K163" i="1"/>
  <c r="J163" i="1"/>
  <c r="I163" i="1"/>
  <c r="H163" i="1"/>
  <c r="G163" i="1"/>
  <c r="D163" i="1"/>
  <c r="C163" i="1"/>
  <c r="B163" i="1"/>
  <c r="A163" i="1"/>
  <c r="K162" i="1"/>
  <c r="J162" i="1"/>
  <c r="I162" i="1"/>
  <c r="H162" i="1"/>
  <c r="G162" i="1"/>
  <c r="D162" i="1"/>
  <c r="C162" i="1"/>
  <c r="B162" i="1"/>
  <c r="A162" i="1"/>
  <c r="K161" i="1"/>
  <c r="J161" i="1"/>
  <c r="I161" i="1"/>
  <c r="H161" i="1"/>
  <c r="G161" i="1"/>
  <c r="D161" i="1"/>
  <c r="C161" i="1"/>
  <c r="B161" i="1"/>
  <c r="A161" i="1"/>
  <c r="M160" i="1"/>
  <c r="K160" i="1"/>
  <c r="J160" i="1"/>
  <c r="I160" i="1"/>
  <c r="H160" i="1"/>
  <c r="G160" i="1"/>
  <c r="D160" i="1"/>
  <c r="C160" i="1"/>
  <c r="B160" i="1"/>
  <c r="A160" i="1"/>
  <c r="K159" i="1"/>
  <c r="J159" i="1"/>
  <c r="I159" i="1"/>
  <c r="H159" i="1"/>
  <c r="G159" i="1"/>
  <c r="D159" i="1"/>
  <c r="B159" i="1"/>
  <c r="A159" i="1"/>
  <c r="M157" i="1"/>
  <c r="K157" i="1"/>
  <c r="J157" i="1"/>
  <c r="I157" i="1"/>
  <c r="H157" i="1"/>
  <c r="D157" i="1"/>
  <c r="C157" i="1"/>
  <c r="B157" i="1"/>
  <c r="A157" i="1"/>
  <c r="K156" i="1"/>
  <c r="J156" i="1"/>
  <c r="I156" i="1"/>
  <c r="H156" i="1"/>
  <c r="G156" i="1"/>
  <c r="D156" i="1"/>
  <c r="C156" i="1"/>
  <c r="B156" i="1"/>
  <c r="A156" i="1"/>
  <c r="K155" i="1"/>
  <c r="J155" i="1"/>
  <c r="I155" i="1"/>
  <c r="H155" i="1"/>
  <c r="G155" i="1"/>
  <c r="D155" i="1"/>
  <c r="C155" i="1"/>
  <c r="B155" i="1"/>
  <c r="A155" i="1"/>
  <c r="K154" i="1"/>
  <c r="J154" i="1"/>
  <c r="I154" i="1"/>
  <c r="H154" i="1"/>
  <c r="G154" i="1"/>
  <c r="D154" i="1"/>
  <c r="C154" i="1"/>
  <c r="B154" i="1"/>
  <c r="A154" i="1"/>
  <c r="K153" i="1"/>
  <c r="J153" i="1"/>
  <c r="I153" i="1"/>
  <c r="H153" i="1"/>
  <c r="G153" i="1"/>
  <c r="D153" i="1"/>
  <c r="C153" i="1"/>
  <c r="B153" i="1"/>
  <c r="A153" i="1"/>
  <c r="M152" i="1"/>
  <c r="K152" i="1"/>
  <c r="J152" i="1"/>
  <c r="I152" i="1"/>
  <c r="H152" i="1"/>
  <c r="D152" i="1"/>
  <c r="C152" i="1"/>
  <c r="B152" i="1"/>
  <c r="A152" i="1"/>
  <c r="K151" i="1"/>
  <c r="J151" i="1"/>
  <c r="I151" i="1"/>
  <c r="H151" i="1"/>
  <c r="G151" i="1"/>
  <c r="D151" i="1"/>
  <c r="C151" i="1"/>
  <c r="B151" i="1"/>
  <c r="A151" i="1"/>
  <c r="M150" i="1"/>
  <c r="K150" i="1"/>
  <c r="J150" i="1"/>
  <c r="I150" i="1"/>
  <c r="H150" i="1"/>
  <c r="G150" i="1"/>
  <c r="D150" i="1"/>
  <c r="C150" i="1"/>
  <c r="B150" i="1"/>
  <c r="A150" i="1"/>
  <c r="K149" i="1"/>
  <c r="J149" i="1"/>
  <c r="I149" i="1"/>
  <c r="H149" i="1"/>
  <c r="G149" i="1"/>
  <c r="D149" i="1"/>
  <c r="C149" i="1"/>
  <c r="B149" i="1"/>
  <c r="A149" i="1"/>
  <c r="M148" i="1"/>
  <c r="K148" i="1"/>
  <c r="J148" i="1"/>
  <c r="I148" i="1"/>
  <c r="H148" i="1"/>
  <c r="D148" i="1"/>
  <c r="C148" i="1"/>
  <c r="B148" i="1"/>
  <c r="A148" i="1"/>
  <c r="K147" i="1"/>
  <c r="J147" i="1"/>
  <c r="I147" i="1"/>
  <c r="H147" i="1"/>
  <c r="G147" i="1"/>
  <c r="D147" i="1"/>
  <c r="B147" i="1"/>
  <c r="A147" i="1"/>
  <c r="K146" i="1"/>
  <c r="J146" i="1"/>
  <c r="I146" i="1"/>
  <c r="H146" i="1"/>
  <c r="G146" i="1"/>
  <c r="D146" i="1"/>
  <c r="C146" i="1"/>
  <c r="B146" i="1"/>
  <c r="A146" i="1"/>
  <c r="M145" i="1"/>
  <c r="K145" i="1"/>
  <c r="J145" i="1"/>
  <c r="I145" i="1"/>
  <c r="H145" i="1"/>
  <c r="G145" i="1"/>
  <c r="D145" i="1"/>
  <c r="C145" i="1"/>
  <c r="B145" i="1"/>
  <c r="A145" i="1"/>
  <c r="K144" i="1"/>
  <c r="J144" i="1"/>
  <c r="I144" i="1"/>
  <c r="H144" i="1"/>
  <c r="G144" i="1"/>
  <c r="D144" i="1"/>
  <c r="C144" i="1"/>
  <c r="B144" i="1"/>
  <c r="A144" i="1"/>
  <c r="K143" i="1"/>
  <c r="J143" i="1"/>
  <c r="I143" i="1"/>
  <c r="H143" i="1"/>
  <c r="G143" i="1"/>
  <c r="D143" i="1"/>
  <c r="C143" i="1"/>
  <c r="B143" i="1"/>
  <c r="A143" i="1"/>
  <c r="M142" i="1"/>
  <c r="K142" i="1"/>
  <c r="J142" i="1"/>
  <c r="I142" i="1"/>
  <c r="H142" i="1"/>
  <c r="G142" i="1"/>
  <c r="D142" i="1"/>
  <c r="C142" i="1"/>
  <c r="B142" i="1"/>
  <c r="A142" i="1"/>
  <c r="K141" i="1"/>
  <c r="J141" i="1"/>
  <c r="I141" i="1"/>
  <c r="H141" i="1"/>
  <c r="G141" i="1"/>
  <c r="D141" i="1"/>
  <c r="C141" i="1"/>
  <c r="B141" i="1"/>
  <c r="A141" i="1"/>
  <c r="K140" i="1"/>
  <c r="J140" i="1"/>
  <c r="I140" i="1"/>
  <c r="H140" i="1"/>
  <c r="G140" i="1"/>
  <c r="D140" i="1"/>
  <c r="C140" i="1"/>
  <c r="B140" i="1"/>
  <c r="A140" i="1"/>
  <c r="K137" i="1"/>
  <c r="J137" i="1"/>
  <c r="I137" i="1"/>
  <c r="H137" i="1"/>
  <c r="D137" i="1"/>
  <c r="C137" i="1"/>
  <c r="B137" i="1"/>
  <c r="A137" i="1"/>
  <c r="K136" i="1"/>
  <c r="J136" i="1"/>
  <c r="I136" i="1"/>
  <c r="H136" i="1"/>
  <c r="G136" i="1"/>
  <c r="D136" i="1"/>
  <c r="C136" i="1"/>
  <c r="B136" i="1"/>
  <c r="A136" i="1"/>
  <c r="K135" i="1"/>
  <c r="J135" i="1"/>
  <c r="I135" i="1"/>
  <c r="H135" i="1"/>
  <c r="G135" i="1"/>
  <c r="D135" i="1"/>
  <c r="C135" i="1"/>
  <c r="B135" i="1"/>
  <c r="A135" i="1"/>
  <c r="K134" i="1"/>
  <c r="J134" i="1"/>
  <c r="I134" i="1"/>
  <c r="H134" i="1"/>
  <c r="D134" i="1"/>
  <c r="C134" i="1"/>
  <c r="B134" i="1"/>
  <c r="A134" i="1"/>
  <c r="K133" i="1"/>
  <c r="J133" i="1"/>
  <c r="I133" i="1"/>
  <c r="H133" i="1"/>
  <c r="G133" i="1"/>
  <c r="D133" i="1"/>
  <c r="C133" i="1"/>
  <c r="B133" i="1"/>
  <c r="A133" i="1"/>
  <c r="K132" i="1"/>
  <c r="J132" i="1"/>
  <c r="I132" i="1"/>
  <c r="H132" i="1"/>
  <c r="G132" i="1"/>
  <c r="D132" i="1"/>
  <c r="C132" i="1"/>
  <c r="B132" i="1"/>
  <c r="A132" i="1"/>
  <c r="K131" i="1"/>
  <c r="J131" i="1"/>
  <c r="I131" i="1"/>
  <c r="H131" i="1"/>
  <c r="G131" i="1"/>
  <c r="D131" i="1"/>
  <c r="C131" i="1"/>
  <c r="B131" i="1"/>
  <c r="A131" i="1"/>
  <c r="M130" i="1"/>
  <c r="K130" i="1"/>
  <c r="J130" i="1"/>
  <c r="I130" i="1"/>
  <c r="H130" i="1"/>
  <c r="G130" i="1"/>
  <c r="D130" i="1"/>
  <c r="C130" i="1"/>
  <c r="B130" i="1"/>
  <c r="A130" i="1"/>
  <c r="M129" i="1"/>
  <c r="K129" i="1"/>
  <c r="J129" i="1"/>
  <c r="I129" i="1"/>
  <c r="H129" i="1"/>
  <c r="G129" i="1"/>
  <c r="D129" i="1"/>
  <c r="B129" i="1"/>
  <c r="A129" i="1"/>
  <c r="K128" i="1"/>
  <c r="J128" i="1"/>
  <c r="I128" i="1"/>
  <c r="H128" i="1"/>
  <c r="D128" i="1"/>
  <c r="C128" i="1"/>
  <c r="B128" i="1"/>
  <c r="A128" i="1"/>
  <c r="K127" i="1"/>
  <c r="J127" i="1"/>
  <c r="I127" i="1"/>
  <c r="H127" i="1"/>
  <c r="G127" i="1"/>
  <c r="D127" i="1"/>
  <c r="C127" i="1"/>
  <c r="B127" i="1"/>
  <c r="A127" i="1"/>
  <c r="K126" i="1"/>
  <c r="J126" i="1"/>
  <c r="I126" i="1"/>
  <c r="H126" i="1"/>
  <c r="G126" i="1"/>
  <c r="D126" i="1"/>
  <c r="C126" i="1"/>
  <c r="B126" i="1"/>
  <c r="A126" i="1"/>
  <c r="K125" i="1"/>
  <c r="J125" i="1"/>
  <c r="I125" i="1"/>
  <c r="H125" i="1"/>
  <c r="G125" i="1"/>
  <c r="D125" i="1"/>
  <c r="B125" i="1"/>
  <c r="A125" i="1"/>
  <c r="M124" i="1"/>
  <c r="K124" i="1"/>
  <c r="J124" i="1"/>
  <c r="I124" i="1"/>
  <c r="H124" i="1"/>
  <c r="D124" i="1"/>
  <c r="C124" i="1"/>
  <c r="B124" i="1"/>
  <c r="A124" i="1"/>
  <c r="K122" i="1"/>
  <c r="J122" i="1"/>
  <c r="I122" i="1"/>
  <c r="H122" i="1"/>
  <c r="G122" i="1"/>
  <c r="D122" i="1"/>
  <c r="C122" i="1"/>
  <c r="B122" i="1"/>
  <c r="A122" i="1"/>
  <c r="M121" i="1"/>
  <c r="K121" i="1"/>
  <c r="J121" i="1"/>
  <c r="I121" i="1"/>
  <c r="H121" i="1"/>
  <c r="G121" i="1"/>
  <c r="D121" i="1"/>
  <c r="C121" i="1"/>
  <c r="B121" i="1"/>
  <c r="A121" i="1"/>
  <c r="K120" i="1"/>
  <c r="J120" i="1"/>
  <c r="I120" i="1"/>
  <c r="H120" i="1"/>
  <c r="G120" i="1"/>
  <c r="D120" i="1"/>
  <c r="C120" i="1"/>
  <c r="B120" i="1"/>
  <c r="A120" i="1"/>
  <c r="M119" i="1"/>
  <c r="K119" i="1"/>
  <c r="J119" i="1"/>
  <c r="I119" i="1"/>
  <c r="H119" i="1"/>
  <c r="G119" i="1"/>
  <c r="D119" i="1"/>
  <c r="C119" i="1"/>
  <c r="B119" i="1"/>
  <c r="A119" i="1"/>
  <c r="K118" i="1"/>
  <c r="J118" i="1"/>
  <c r="I118" i="1"/>
  <c r="H118" i="1"/>
  <c r="G118" i="1"/>
  <c r="D118" i="1"/>
  <c r="B118" i="1"/>
  <c r="A118" i="1"/>
  <c r="M117" i="1"/>
  <c r="K117" i="1"/>
  <c r="J117" i="1"/>
  <c r="I117" i="1"/>
  <c r="H117" i="1"/>
  <c r="G117" i="1"/>
  <c r="D117" i="1"/>
  <c r="C117" i="1"/>
  <c r="B117" i="1"/>
  <c r="A117" i="1"/>
  <c r="K116" i="1"/>
  <c r="J116" i="1"/>
  <c r="I116" i="1"/>
  <c r="H116" i="1"/>
  <c r="G116" i="1"/>
  <c r="D116" i="1"/>
  <c r="C116" i="1"/>
  <c r="B116" i="1"/>
  <c r="A116" i="1"/>
  <c r="K115" i="1"/>
  <c r="J115" i="1"/>
  <c r="I115" i="1"/>
  <c r="H115" i="1"/>
  <c r="G115" i="1"/>
  <c r="D115" i="1"/>
  <c r="C115" i="1"/>
  <c r="B115" i="1"/>
  <c r="A115" i="1"/>
  <c r="M114" i="1"/>
  <c r="K114" i="1"/>
  <c r="J114" i="1"/>
  <c r="I114" i="1"/>
  <c r="H114" i="1"/>
  <c r="G114" i="1"/>
  <c r="D114" i="1"/>
  <c r="C114" i="1"/>
  <c r="B114" i="1"/>
  <c r="A114" i="1"/>
  <c r="K112" i="1"/>
  <c r="J112" i="1"/>
  <c r="I112" i="1"/>
  <c r="H112" i="1"/>
  <c r="G112" i="1"/>
  <c r="D112" i="1"/>
  <c r="C112" i="1"/>
  <c r="B112" i="1"/>
  <c r="A112" i="1"/>
  <c r="K111" i="1"/>
  <c r="J111" i="1"/>
  <c r="I111" i="1"/>
  <c r="H111" i="1"/>
  <c r="G111" i="1"/>
  <c r="D111" i="1"/>
  <c r="C111" i="1"/>
  <c r="B111" i="1"/>
  <c r="A111" i="1"/>
  <c r="K110" i="1"/>
  <c r="J110" i="1"/>
  <c r="I110" i="1"/>
  <c r="H110" i="1"/>
  <c r="G110" i="1"/>
  <c r="D110" i="1"/>
  <c r="B110" i="1"/>
  <c r="A110" i="1"/>
  <c r="K109" i="1"/>
  <c r="J109" i="1"/>
  <c r="I109" i="1"/>
  <c r="H109" i="1"/>
  <c r="G109" i="1"/>
  <c r="D109" i="1"/>
  <c r="C109" i="1"/>
  <c r="B109" i="1"/>
  <c r="A109" i="1"/>
  <c r="M107" i="1"/>
  <c r="K107" i="1"/>
  <c r="J107" i="1"/>
  <c r="I107" i="1"/>
  <c r="H107" i="1"/>
  <c r="D107" i="1"/>
  <c r="C107" i="1"/>
  <c r="B107" i="1"/>
  <c r="A107" i="1"/>
  <c r="K106" i="1"/>
  <c r="J106" i="1"/>
  <c r="I106" i="1"/>
  <c r="H106" i="1"/>
  <c r="G106" i="1"/>
  <c r="D106" i="1"/>
  <c r="C106" i="1"/>
  <c r="B106" i="1"/>
  <c r="A106" i="1"/>
  <c r="M105" i="1"/>
  <c r="K105" i="1"/>
  <c r="J105" i="1"/>
  <c r="I105" i="1"/>
  <c r="H105" i="1"/>
  <c r="G105" i="1"/>
  <c r="D105" i="1"/>
  <c r="C105" i="1"/>
  <c r="B105" i="1"/>
  <c r="A105" i="1"/>
  <c r="K104" i="1"/>
  <c r="J104" i="1"/>
  <c r="I104" i="1"/>
  <c r="H104" i="1"/>
  <c r="G104" i="1"/>
  <c r="D104" i="1"/>
  <c r="C104" i="1"/>
  <c r="B104" i="1"/>
  <c r="A104" i="1"/>
  <c r="K103" i="1"/>
  <c r="J103" i="1"/>
  <c r="I103" i="1"/>
  <c r="H103" i="1"/>
  <c r="G103" i="1"/>
  <c r="D103" i="1"/>
  <c r="C103" i="1"/>
  <c r="B103" i="1"/>
  <c r="A103" i="1"/>
  <c r="K102" i="1"/>
  <c r="J102" i="1"/>
  <c r="I102" i="1"/>
  <c r="H102" i="1"/>
  <c r="G102" i="1"/>
  <c r="D102" i="1"/>
  <c r="C102" i="1"/>
  <c r="B102" i="1"/>
  <c r="A102" i="1"/>
  <c r="M101" i="1"/>
  <c r="K101" i="1"/>
  <c r="J101" i="1"/>
  <c r="I101" i="1"/>
  <c r="H101" i="1"/>
  <c r="G101" i="1"/>
  <c r="D101" i="1"/>
  <c r="C101" i="1"/>
  <c r="B101" i="1"/>
  <c r="A101" i="1"/>
  <c r="K100" i="1"/>
  <c r="J100" i="1"/>
  <c r="I100" i="1"/>
  <c r="H100" i="1"/>
  <c r="G100" i="1"/>
  <c r="D100" i="1"/>
  <c r="C100" i="1"/>
  <c r="B100" i="1"/>
  <c r="A100" i="1"/>
  <c r="M99" i="1"/>
  <c r="K99" i="1"/>
  <c r="J99" i="1"/>
  <c r="I99" i="1"/>
  <c r="H99" i="1"/>
  <c r="G99" i="1"/>
  <c r="D99" i="1"/>
  <c r="C99" i="1"/>
  <c r="B99" i="1"/>
  <c r="A99" i="1"/>
  <c r="M98" i="1"/>
  <c r="K98" i="1"/>
  <c r="J98" i="1"/>
  <c r="I98" i="1"/>
  <c r="H98" i="1"/>
  <c r="D98" i="1"/>
  <c r="C98" i="1"/>
  <c r="B98" i="1"/>
  <c r="A98" i="1"/>
  <c r="K96" i="1"/>
  <c r="J96" i="1"/>
  <c r="G96" i="1"/>
  <c r="D96" i="1"/>
  <c r="C96" i="1"/>
  <c r="B96" i="1"/>
  <c r="M95" i="1"/>
  <c r="K95" i="1"/>
  <c r="J95" i="1"/>
  <c r="I95" i="1"/>
  <c r="H95" i="1"/>
  <c r="G95" i="1"/>
  <c r="D95" i="1"/>
  <c r="C95" i="1"/>
  <c r="B95" i="1"/>
  <c r="A95" i="1"/>
  <c r="M94" i="1"/>
  <c r="K94" i="1"/>
  <c r="J94" i="1"/>
  <c r="I94" i="1"/>
  <c r="H94" i="1"/>
  <c r="G94" i="1"/>
  <c r="D94" i="1"/>
  <c r="C94" i="1"/>
  <c r="B94" i="1"/>
  <c r="A94" i="1"/>
  <c r="K93" i="1"/>
  <c r="J93" i="1"/>
  <c r="I93" i="1"/>
  <c r="H93" i="1"/>
  <c r="G93" i="1"/>
  <c r="D93" i="1"/>
  <c r="C93" i="1"/>
  <c r="B93" i="1"/>
  <c r="A93" i="1"/>
  <c r="M92" i="1"/>
  <c r="K92" i="1"/>
  <c r="J92" i="1"/>
  <c r="I92" i="1"/>
  <c r="H92" i="1"/>
  <c r="D92" i="1"/>
  <c r="C92" i="1"/>
  <c r="B92" i="1"/>
  <c r="A92" i="1"/>
  <c r="K91" i="1"/>
  <c r="J91" i="1"/>
  <c r="I91" i="1"/>
  <c r="H91" i="1"/>
  <c r="G91" i="1"/>
  <c r="D91" i="1"/>
  <c r="C91" i="1"/>
  <c r="B91" i="1"/>
  <c r="A91" i="1"/>
  <c r="K90" i="1"/>
  <c r="J90" i="1"/>
  <c r="I90" i="1"/>
  <c r="H90" i="1"/>
  <c r="G90" i="1"/>
  <c r="D90" i="1"/>
  <c r="C90" i="1"/>
  <c r="B90" i="1"/>
  <c r="A90" i="1"/>
  <c r="K89" i="1"/>
  <c r="J89" i="1"/>
  <c r="I89" i="1"/>
  <c r="H89" i="1"/>
  <c r="G89" i="1"/>
  <c r="D89" i="1"/>
  <c r="C89" i="1"/>
  <c r="B89" i="1"/>
  <c r="A89" i="1"/>
  <c r="M88" i="1"/>
  <c r="K88" i="1"/>
  <c r="J88" i="1"/>
  <c r="I88" i="1"/>
  <c r="H88" i="1"/>
  <c r="G88" i="1"/>
  <c r="D88" i="1"/>
  <c r="C88" i="1"/>
  <c r="B88" i="1"/>
  <c r="A88" i="1"/>
  <c r="K87" i="1"/>
  <c r="J87" i="1"/>
  <c r="I87" i="1"/>
  <c r="H87" i="1"/>
  <c r="G87" i="1"/>
  <c r="D87" i="1"/>
  <c r="C87" i="1"/>
  <c r="B87" i="1"/>
  <c r="A87" i="1"/>
  <c r="K86" i="1"/>
  <c r="J86" i="1"/>
  <c r="I86" i="1"/>
  <c r="H86" i="1"/>
  <c r="D86" i="1"/>
  <c r="C86" i="1"/>
  <c r="B86" i="1"/>
  <c r="A86" i="1"/>
  <c r="K85" i="1"/>
  <c r="J85" i="1"/>
  <c r="I85" i="1"/>
  <c r="H85" i="1"/>
  <c r="G85" i="1"/>
  <c r="D85" i="1"/>
  <c r="B85" i="1"/>
  <c r="A85" i="1"/>
  <c r="K84" i="1"/>
  <c r="J84" i="1"/>
  <c r="I84" i="1"/>
  <c r="H84" i="1"/>
  <c r="D84" i="1"/>
  <c r="C84" i="1"/>
  <c r="B84" i="1"/>
  <c r="A84" i="1"/>
  <c r="M83" i="1"/>
  <c r="K83" i="1"/>
  <c r="J83" i="1"/>
  <c r="I83" i="1"/>
  <c r="H83" i="1"/>
  <c r="G83" i="1"/>
  <c r="D83" i="1"/>
  <c r="C83" i="1"/>
  <c r="B83" i="1"/>
  <c r="A83" i="1"/>
  <c r="K82" i="1"/>
  <c r="J82" i="1"/>
  <c r="I82" i="1"/>
  <c r="H82" i="1"/>
  <c r="G82" i="1"/>
  <c r="D82" i="1"/>
  <c r="C82" i="1"/>
  <c r="B82" i="1"/>
  <c r="A82" i="1"/>
  <c r="K81" i="1"/>
  <c r="J81" i="1"/>
  <c r="I81" i="1"/>
  <c r="H81" i="1"/>
  <c r="G81" i="1"/>
  <c r="D81" i="1"/>
  <c r="C81" i="1"/>
  <c r="B81" i="1"/>
  <c r="A81" i="1"/>
  <c r="M80" i="1"/>
  <c r="K80" i="1"/>
  <c r="J80" i="1"/>
  <c r="I80" i="1"/>
  <c r="H80" i="1"/>
  <c r="G80" i="1"/>
  <c r="D80" i="1"/>
  <c r="C80" i="1"/>
  <c r="B80" i="1"/>
  <c r="A80" i="1"/>
  <c r="K79" i="1"/>
  <c r="J79" i="1"/>
  <c r="I79" i="1"/>
  <c r="H79" i="1"/>
  <c r="G79" i="1"/>
  <c r="D79" i="1"/>
  <c r="C79" i="1"/>
  <c r="B79" i="1"/>
  <c r="A79" i="1"/>
  <c r="M78" i="1"/>
  <c r="K78" i="1"/>
  <c r="J78" i="1"/>
  <c r="I78" i="1"/>
  <c r="H78" i="1"/>
  <c r="G78" i="1"/>
  <c r="D78" i="1"/>
  <c r="C78" i="1"/>
  <c r="B78" i="1"/>
  <c r="A78" i="1"/>
  <c r="M77" i="1"/>
  <c r="K77" i="1"/>
  <c r="J77" i="1"/>
  <c r="I77" i="1"/>
  <c r="H77" i="1"/>
  <c r="G77" i="1"/>
  <c r="D77" i="1"/>
  <c r="C77" i="1"/>
  <c r="B77" i="1"/>
  <c r="A77" i="1"/>
  <c r="M76" i="1"/>
  <c r="K76" i="1"/>
  <c r="J76" i="1"/>
  <c r="I76" i="1"/>
  <c r="H76" i="1"/>
  <c r="G76" i="1"/>
  <c r="D76" i="1"/>
  <c r="B76" i="1"/>
  <c r="A76" i="1"/>
  <c r="K71" i="1"/>
  <c r="J71" i="1"/>
  <c r="I71" i="1"/>
  <c r="H71" i="1"/>
  <c r="G71" i="1"/>
  <c r="D71" i="1"/>
  <c r="C71" i="1"/>
  <c r="B71" i="1"/>
  <c r="A71" i="1"/>
  <c r="K70" i="1"/>
  <c r="J70" i="1"/>
  <c r="I70" i="1"/>
  <c r="H70" i="1"/>
  <c r="G70" i="1"/>
  <c r="D70" i="1"/>
  <c r="C70" i="1"/>
  <c r="B70" i="1"/>
  <c r="A70" i="1"/>
  <c r="K69" i="1"/>
  <c r="J69" i="1"/>
  <c r="I69" i="1"/>
  <c r="H69" i="1"/>
  <c r="G69" i="1"/>
  <c r="D69" i="1"/>
  <c r="C69" i="1"/>
  <c r="B69" i="1"/>
  <c r="A69" i="1"/>
  <c r="K67" i="1"/>
  <c r="J67" i="1"/>
  <c r="I67" i="1"/>
  <c r="H67" i="1"/>
  <c r="G67" i="1"/>
  <c r="D67" i="1"/>
  <c r="C67" i="1"/>
  <c r="B67" i="1"/>
  <c r="A67" i="1"/>
  <c r="M66" i="1"/>
  <c r="K66" i="1"/>
  <c r="J66" i="1"/>
  <c r="I66" i="1"/>
  <c r="H66" i="1"/>
  <c r="G66" i="1"/>
  <c r="D66" i="1"/>
  <c r="C66" i="1"/>
  <c r="B66" i="1"/>
  <c r="A66" i="1"/>
  <c r="M65" i="1"/>
  <c r="K65" i="1"/>
  <c r="J65" i="1"/>
  <c r="I65" i="1"/>
  <c r="H65" i="1"/>
  <c r="G65" i="1"/>
  <c r="D65" i="1"/>
  <c r="C65" i="1"/>
  <c r="B65" i="1"/>
  <c r="A65" i="1"/>
  <c r="K64" i="1"/>
  <c r="J64" i="1"/>
  <c r="I64" i="1"/>
  <c r="H64" i="1"/>
  <c r="G64" i="1"/>
  <c r="D64" i="1"/>
  <c r="C64" i="1"/>
  <c r="B64" i="1"/>
  <c r="A64" i="1"/>
  <c r="K63" i="1"/>
  <c r="J63" i="1"/>
  <c r="I63" i="1"/>
  <c r="H63" i="1"/>
  <c r="G63" i="1"/>
  <c r="D63" i="1"/>
  <c r="C63" i="1"/>
  <c r="B63" i="1"/>
  <c r="A63" i="1"/>
  <c r="M62" i="1"/>
  <c r="K62" i="1"/>
  <c r="J62" i="1"/>
  <c r="I62" i="1"/>
  <c r="H62" i="1"/>
  <c r="G62" i="1"/>
  <c r="D62" i="1"/>
  <c r="C62" i="1"/>
  <c r="B62" i="1"/>
  <c r="A62" i="1"/>
  <c r="K60" i="1"/>
  <c r="J60" i="1"/>
  <c r="I60" i="1"/>
  <c r="H60" i="1"/>
  <c r="G60" i="1"/>
  <c r="D60" i="1"/>
  <c r="C60" i="1"/>
  <c r="B60" i="1"/>
  <c r="A60" i="1"/>
  <c r="K59" i="1"/>
  <c r="J59" i="1"/>
  <c r="I59" i="1"/>
  <c r="H59" i="1"/>
  <c r="G59" i="1"/>
  <c r="D59" i="1"/>
  <c r="B59" i="1"/>
  <c r="A59" i="1"/>
  <c r="K58" i="1"/>
  <c r="J58" i="1"/>
  <c r="I58" i="1"/>
  <c r="H58" i="1"/>
  <c r="G58" i="1"/>
  <c r="D58" i="1"/>
  <c r="C58" i="1"/>
  <c r="B58" i="1"/>
  <c r="A58" i="1"/>
  <c r="K57" i="1"/>
  <c r="J57" i="1"/>
  <c r="I57" i="1"/>
  <c r="H57" i="1"/>
  <c r="G57" i="1"/>
  <c r="D57" i="1"/>
  <c r="C57" i="1"/>
  <c r="B57" i="1"/>
  <c r="A57" i="1"/>
  <c r="K56" i="1"/>
  <c r="J56" i="1"/>
  <c r="I56" i="1"/>
  <c r="H56" i="1"/>
  <c r="G56" i="1"/>
  <c r="D56" i="1"/>
  <c r="C56" i="1"/>
  <c r="B56" i="1"/>
  <c r="A56" i="1"/>
  <c r="M54" i="1"/>
  <c r="K54" i="1"/>
  <c r="J54" i="1"/>
  <c r="I54" i="1"/>
  <c r="H54" i="1"/>
  <c r="D54" i="1"/>
  <c r="C54" i="1"/>
  <c r="B54" i="1"/>
  <c r="A54" i="1"/>
  <c r="K53" i="1"/>
  <c r="J53" i="1"/>
  <c r="I53" i="1"/>
  <c r="H53" i="1"/>
  <c r="G53" i="1"/>
  <c r="D53" i="1"/>
  <c r="C53" i="1"/>
  <c r="B53" i="1"/>
  <c r="A53" i="1"/>
  <c r="K51" i="1"/>
  <c r="J51" i="1"/>
  <c r="I51" i="1"/>
  <c r="H51" i="1"/>
  <c r="G51" i="1"/>
  <c r="D51" i="1"/>
  <c r="C51" i="1"/>
  <c r="B51" i="1"/>
  <c r="A51" i="1"/>
  <c r="K50" i="1"/>
  <c r="J50" i="1"/>
  <c r="I50" i="1"/>
  <c r="H50" i="1"/>
  <c r="G50" i="1"/>
  <c r="D50" i="1"/>
  <c r="C50" i="1"/>
  <c r="B50" i="1"/>
  <c r="A50" i="1"/>
  <c r="M49" i="1"/>
  <c r="K49" i="1"/>
  <c r="J49" i="1"/>
  <c r="I49" i="1"/>
  <c r="H49" i="1"/>
  <c r="G49" i="1"/>
  <c r="D49" i="1"/>
  <c r="C49" i="1"/>
  <c r="B49" i="1"/>
  <c r="A49" i="1"/>
  <c r="K48" i="1"/>
  <c r="J48" i="1"/>
  <c r="I48" i="1"/>
  <c r="H48" i="1"/>
  <c r="G48" i="1"/>
  <c r="D48" i="1"/>
  <c r="B48" i="1"/>
  <c r="A48" i="1"/>
  <c r="K47" i="1"/>
  <c r="J47" i="1"/>
  <c r="I47" i="1"/>
  <c r="H47" i="1"/>
  <c r="G47" i="1"/>
  <c r="D47" i="1"/>
  <c r="C47" i="1"/>
  <c r="B47" i="1"/>
  <c r="A47" i="1"/>
  <c r="K46" i="1"/>
  <c r="J46" i="1"/>
  <c r="I46" i="1"/>
  <c r="H46" i="1"/>
  <c r="G46" i="1"/>
  <c r="D46" i="1"/>
  <c r="C46" i="1"/>
  <c r="B46" i="1"/>
  <c r="A46" i="1"/>
  <c r="M45" i="1"/>
  <c r="K45" i="1"/>
  <c r="J45" i="1"/>
  <c r="I45" i="1"/>
  <c r="H45" i="1"/>
  <c r="D45" i="1"/>
  <c r="C45" i="1"/>
  <c r="B45" i="1"/>
  <c r="A45" i="1"/>
  <c r="K44" i="1"/>
  <c r="J44" i="1"/>
  <c r="I44" i="1"/>
  <c r="H44" i="1"/>
  <c r="G44" i="1"/>
  <c r="D44" i="1"/>
  <c r="C44" i="1"/>
  <c r="B44" i="1"/>
  <c r="A44" i="1"/>
  <c r="K43" i="1"/>
  <c r="J43" i="1"/>
  <c r="I43" i="1"/>
  <c r="H43" i="1"/>
  <c r="G43" i="1"/>
  <c r="D43" i="1"/>
  <c r="C43" i="1"/>
  <c r="B43" i="1"/>
  <c r="A43" i="1"/>
  <c r="K42" i="1"/>
  <c r="J42" i="1"/>
  <c r="I42" i="1"/>
  <c r="H42" i="1"/>
  <c r="G42" i="1"/>
  <c r="D42" i="1"/>
  <c r="C42" i="1"/>
  <c r="B42" i="1"/>
  <c r="A42" i="1"/>
  <c r="K41" i="1"/>
  <c r="J41" i="1"/>
  <c r="I41" i="1"/>
  <c r="H41" i="1"/>
  <c r="G41" i="1"/>
  <c r="D41" i="1"/>
  <c r="C41" i="1"/>
  <c r="B41" i="1"/>
  <c r="A41" i="1"/>
  <c r="K40" i="1"/>
  <c r="J40" i="1"/>
  <c r="I40" i="1"/>
  <c r="H40" i="1"/>
  <c r="G40" i="1"/>
  <c r="D40" i="1"/>
  <c r="C40" i="1"/>
  <c r="B40" i="1"/>
  <c r="A40" i="1"/>
  <c r="K39" i="1"/>
  <c r="J39" i="1"/>
  <c r="I39" i="1"/>
  <c r="H39" i="1"/>
  <c r="G39" i="1"/>
  <c r="D39" i="1"/>
  <c r="C39" i="1"/>
  <c r="B39" i="1"/>
  <c r="A39" i="1"/>
  <c r="M37" i="1"/>
  <c r="K37" i="1"/>
  <c r="J37" i="1"/>
  <c r="I37" i="1"/>
  <c r="H37" i="1"/>
  <c r="G37" i="1"/>
  <c r="D37" i="1"/>
  <c r="C37" i="1"/>
  <c r="B37" i="1"/>
  <c r="A37" i="1"/>
  <c r="H36" i="1"/>
  <c r="K35" i="1"/>
  <c r="J35" i="1"/>
  <c r="I35" i="1"/>
  <c r="H35" i="1"/>
  <c r="G35" i="1"/>
  <c r="D35" i="1"/>
  <c r="C35" i="1"/>
  <c r="B35" i="1"/>
  <c r="A35" i="1"/>
  <c r="K34" i="1"/>
  <c r="J34" i="1"/>
  <c r="I34" i="1"/>
  <c r="H34" i="1"/>
  <c r="G34" i="1"/>
  <c r="D34" i="1"/>
  <c r="B34" i="1"/>
  <c r="A34" i="1"/>
  <c r="K33" i="1"/>
  <c r="J33" i="1"/>
  <c r="I33" i="1"/>
  <c r="H33" i="1"/>
  <c r="G33" i="1"/>
  <c r="D33" i="1"/>
  <c r="C33" i="1"/>
  <c r="B33" i="1"/>
  <c r="A33" i="1"/>
  <c r="K32" i="1"/>
  <c r="J32" i="1"/>
  <c r="I32" i="1"/>
  <c r="H32" i="1"/>
  <c r="G32" i="1"/>
  <c r="D32" i="1"/>
  <c r="C32" i="1"/>
  <c r="B32" i="1"/>
  <c r="A32" i="1"/>
  <c r="K31" i="1"/>
  <c r="J31" i="1"/>
  <c r="I31" i="1"/>
  <c r="H31" i="1"/>
  <c r="G31" i="1"/>
  <c r="D31" i="1"/>
  <c r="C31" i="1"/>
  <c r="B31" i="1"/>
  <c r="A31" i="1"/>
  <c r="K30" i="1"/>
  <c r="J30" i="1"/>
  <c r="I30" i="1"/>
  <c r="H30" i="1"/>
  <c r="G30" i="1"/>
  <c r="D30" i="1"/>
  <c r="C30" i="1"/>
  <c r="B30" i="1"/>
  <c r="A30" i="1"/>
  <c r="K29" i="1"/>
  <c r="J29" i="1"/>
  <c r="I29" i="1"/>
  <c r="H29" i="1"/>
  <c r="D29" i="1"/>
  <c r="C29" i="1"/>
  <c r="B29" i="1"/>
  <c r="A29" i="1"/>
  <c r="K27" i="1"/>
  <c r="J27" i="1"/>
  <c r="I27" i="1"/>
  <c r="H27" i="1"/>
  <c r="G27" i="1"/>
  <c r="D27" i="1"/>
  <c r="C27" i="1"/>
  <c r="B27" i="1"/>
  <c r="A27" i="1"/>
  <c r="M26" i="1"/>
  <c r="K26" i="1"/>
  <c r="J26" i="1"/>
  <c r="I26" i="1"/>
  <c r="H26" i="1"/>
  <c r="G26" i="1"/>
  <c r="D26" i="1"/>
  <c r="C26" i="1"/>
  <c r="B26" i="1"/>
  <c r="A26" i="1"/>
  <c r="M25" i="1"/>
  <c r="K25" i="1"/>
  <c r="J25" i="1"/>
  <c r="I25" i="1"/>
  <c r="H25" i="1"/>
  <c r="G25" i="1"/>
  <c r="D25" i="1"/>
  <c r="C25" i="1"/>
  <c r="B25" i="1"/>
  <c r="A25" i="1"/>
  <c r="K24" i="1"/>
  <c r="J24" i="1"/>
  <c r="I24" i="1"/>
  <c r="H24" i="1"/>
  <c r="G24" i="1"/>
  <c r="D24" i="1"/>
  <c r="C24" i="1"/>
  <c r="B24" i="1"/>
  <c r="A24" i="1"/>
  <c r="K23" i="1"/>
  <c r="J23" i="1"/>
  <c r="I23" i="1"/>
  <c r="H23" i="1"/>
  <c r="G23" i="1"/>
  <c r="D23" i="1"/>
  <c r="C23" i="1"/>
  <c r="B23" i="1"/>
  <c r="A23" i="1"/>
  <c r="K20" i="1"/>
  <c r="J20" i="1"/>
  <c r="I20" i="1"/>
  <c r="H20" i="1"/>
  <c r="G20" i="1"/>
  <c r="D20" i="1"/>
  <c r="C20" i="1"/>
  <c r="B20" i="1"/>
  <c r="A20" i="1"/>
  <c r="K18" i="1"/>
  <c r="J18" i="1"/>
  <c r="I18" i="1"/>
  <c r="H18" i="1"/>
  <c r="G18" i="1"/>
  <c r="D18" i="1"/>
  <c r="C18" i="1"/>
  <c r="B18" i="1"/>
  <c r="A18" i="1"/>
  <c r="M17" i="1"/>
  <c r="K17" i="1"/>
  <c r="J17" i="1"/>
  <c r="I17" i="1"/>
  <c r="H17" i="1"/>
  <c r="G17" i="1"/>
  <c r="D17" i="1"/>
  <c r="C17" i="1"/>
  <c r="B17" i="1"/>
  <c r="A17" i="1"/>
  <c r="M16" i="1"/>
  <c r="K16" i="1"/>
  <c r="J16" i="1"/>
  <c r="I16" i="1"/>
  <c r="H16" i="1"/>
  <c r="G16" i="1"/>
  <c r="D16" i="1"/>
  <c r="C16" i="1"/>
  <c r="B16" i="1"/>
  <c r="A16" i="1"/>
  <c r="K12" i="1"/>
  <c r="J12" i="1"/>
  <c r="I12" i="1"/>
  <c r="H12" i="1"/>
  <c r="G12" i="1"/>
  <c r="D12" i="1"/>
  <c r="C12" i="1"/>
  <c r="B12" i="1"/>
  <c r="A12" i="1"/>
  <c r="K11" i="1"/>
  <c r="J11" i="1"/>
  <c r="I11" i="1"/>
  <c r="H11" i="1"/>
  <c r="G11" i="1"/>
  <c r="D11" i="1"/>
  <c r="C11" i="1"/>
  <c r="B11" i="1"/>
  <c r="A11" i="1"/>
  <c r="K10" i="1"/>
  <c r="J10" i="1"/>
  <c r="I10" i="1"/>
  <c r="H10" i="1"/>
  <c r="D10" i="1"/>
  <c r="C10" i="1"/>
  <c r="B10" i="1"/>
  <c r="A10" i="1"/>
  <c r="K9" i="1"/>
  <c r="J9" i="1"/>
  <c r="I9" i="1"/>
  <c r="H9" i="1"/>
  <c r="G9" i="1"/>
  <c r="D9" i="1"/>
  <c r="C9" i="1"/>
  <c r="B9" i="1"/>
  <c r="A9" i="1"/>
  <c r="K8" i="1"/>
  <c r="J8" i="1"/>
  <c r="I8" i="1"/>
  <c r="H8" i="1"/>
  <c r="G8" i="1"/>
  <c r="D8" i="1"/>
  <c r="B8" i="1"/>
  <c r="A8" i="1"/>
  <c r="K7" i="1"/>
  <c r="J7" i="1"/>
  <c r="I7" i="1"/>
  <c r="H7" i="1"/>
  <c r="G7" i="1"/>
  <c r="D7" i="1"/>
  <c r="C7" i="1"/>
  <c r="B7" i="1"/>
  <c r="A7" i="1"/>
  <c r="K6" i="1"/>
  <c r="J6" i="1"/>
  <c r="I6" i="1"/>
  <c r="H6" i="1"/>
  <c r="D6" i="1"/>
  <c r="C6" i="1"/>
  <c r="B6" i="1"/>
  <c r="A6" i="1"/>
  <c r="K5" i="1"/>
  <c r="J5" i="1"/>
  <c r="I5" i="1"/>
  <c r="H5" i="1"/>
  <c r="G5" i="1"/>
  <c r="D5" i="1"/>
  <c r="C5" i="1"/>
  <c r="B5" i="1"/>
  <c r="A5" i="1"/>
  <c r="K4" i="1"/>
  <c r="J4" i="1"/>
  <c r="I4" i="1"/>
  <c r="H4" i="1"/>
  <c r="G4" i="1"/>
  <c r="D4" i="1"/>
  <c r="C4" i="1"/>
  <c r="B4" i="1"/>
  <c r="A4" i="1"/>
  <c r="K3" i="1"/>
  <c r="J3" i="1"/>
  <c r="I3" i="1"/>
  <c r="H3" i="1"/>
  <c r="G3" i="1"/>
  <c r="D3" i="1"/>
  <c r="C3" i="1"/>
  <c r="B3" i="1"/>
  <c r="A3" i="1"/>
  <c r="K2" i="1"/>
  <c r="J2" i="1"/>
  <c r="I2" i="1"/>
  <c r="H2" i="1"/>
  <c r="G2" i="1"/>
  <c r="D2" i="1"/>
  <c r="C2" i="1"/>
  <c r="B2" i="1"/>
  <c r="A2" i="1"/>
  <c r="K1" i="1"/>
</calcChain>
</file>

<file path=xl/sharedStrings.xml><?xml version="1.0" encoding="utf-8"?>
<sst xmlns="http://schemas.openxmlformats.org/spreadsheetml/2006/main" count="3590" uniqueCount="622">
  <si>
    <t>FIRST NAME</t>
  </si>
  <si>
    <t>LAST NAME</t>
  </si>
  <si>
    <t>CLUB</t>
  </si>
  <si>
    <t>GENDER</t>
  </si>
  <si>
    <t>Année</t>
  </si>
  <si>
    <t>CEINTURE</t>
  </si>
  <si>
    <t>CATEGORY</t>
  </si>
  <si>
    <t>EVENT</t>
  </si>
  <si>
    <t>MEMBER #</t>
  </si>
  <si>
    <t>CANADIAN CITIZEN</t>
  </si>
  <si>
    <t>POIDS u12</t>
  </si>
  <si>
    <t>ADMIN NOTES</t>
  </si>
  <si>
    <t>Catégorie</t>
  </si>
  <si>
    <t>favoris</t>
  </si>
  <si>
    <t>2007</t>
  </si>
  <si>
    <t>5k</t>
  </si>
  <si>
    <t>U14M +66JO</t>
  </si>
  <si>
    <t>2002</t>
  </si>
  <si>
    <t>1k</t>
  </si>
  <si>
    <t>seul</t>
  </si>
  <si>
    <t>U18M +90V+</t>
  </si>
  <si>
    <t>2008</t>
  </si>
  <si>
    <t>5k+</t>
  </si>
  <si>
    <t>U12M</t>
  </si>
  <si>
    <t>2004</t>
  </si>
  <si>
    <t>U18</t>
  </si>
  <si>
    <t>U18M -46V+</t>
  </si>
  <si>
    <t>2003</t>
  </si>
  <si>
    <t>Shidokan</t>
  </si>
  <si>
    <t>2000</t>
  </si>
  <si>
    <t>1D</t>
  </si>
  <si>
    <t>U21/SenB M -100</t>
  </si>
  <si>
    <t>2005</t>
  </si>
  <si>
    <t>3k+</t>
  </si>
  <si>
    <t>U16M +73V+</t>
  </si>
  <si>
    <t>2 divisions : U18 + U21/Sénior B</t>
  </si>
  <si>
    <t>U18F +70V+</t>
  </si>
  <si>
    <t>4k</t>
  </si>
  <si>
    <t>2006</t>
  </si>
  <si>
    <t>2k</t>
  </si>
  <si>
    <t>U14M +66V+</t>
  </si>
  <si>
    <t>Maya</t>
  </si>
  <si>
    <t>Sahraoui</t>
  </si>
  <si>
    <t>Blainville</t>
  </si>
  <si>
    <t>F</t>
  </si>
  <si>
    <t>0183295</t>
  </si>
  <si>
    <t>Yes</t>
  </si>
  <si>
    <t>Quebec</t>
  </si>
  <si>
    <t>2 divisions : U16 + U18</t>
  </si>
  <si>
    <t>William</t>
  </si>
  <si>
    <t>Caron</t>
  </si>
  <si>
    <t>Kime-Waza  Joliette</t>
  </si>
  <si>
    <t>M</t>
  </si>
  <si>
    <t>Ne-waza</t>
  </si>
  <si>
    <t>0173659</t>
  </si>
  <si>
    <t>3 divisions : U16 + U18 + ne-waza</t>
  </si>
  <si>
    <t>Newaza M -55</t>
  </si>
  <si>
    <t>Nicolas</t>
  </si>
  <si>
    <t>Allard</t>
  </si>
  <si>
    <t>Amqui</t>
  </si>
  <si>
    <t>2009</t>
  </si>
  <si>
    <t>U12</t>
  </si>
  <si>
    <t>0411099</t>
  </si>
  <si>
    <t>U18M -50V+</t>
  </si>
  <si>
    <t>3k</t>
  </si>
  <si>
    <t>Alexandre</t>
  </si>
  <si>
    <t>Desbiens</t>
  </si>
  <si>
    <t>Judokas Jonquière</t>
  </si>
  <si>
    <t>0163277</t>
  </si>
  <si>
    <t>Jimmy</t>
  </si>
  <si>
    <t>Robichaud</t>
  </si>
  <si>
    <t>2001</t>
  </si>
  <si>
    <t>U21/Senior B</t>
  </si>
  <si>
    <t>0154934</t>
  </si>
  <si>
    <t>Shane</t>
  </si>
  <si>
    <t>Lewis</t>
  </si>
  <si>
    <t>Perrot Shima</t>
  </si>
  <si>
    <t>0193668</t>
  </si>
  <si>
    <t>Athlète précoce : 2 divisions : U14+U16</t>
  </si>
  <si>
    <t>Eliot</t>
  </si>
  <si>
    <t>Allaire</t>
  </si>
  <si>
    <t>Juvaldo</t>
  </si>
  <si>
    <t>0183830</t>
  </si>
  <si>
    <t>Newaza M -73</t>
  </si>
  <si>
    <t>1990</t>
  </si>
  <si>
    <t>Senior A</t>
  </si>
  <si>
    <t>SenM +100</t>
  </si>
  <si>
    <t>si seule: ok avec -78</t>
  </si>
  <si>
    <t>MudF -70JO</t>
  </si>
  <si>
    <t>U14M -31JO</t>
  </si>
  <si>
    <t>4k+</t>
  </si>
  <si>
    <t>U12F</t>
  </si>
  <si>
    <t>Judo Ben</t>
  </si>
  <si>
    <t>Lévi</t>
  </si>
  <si>
    <t>Fournier</t>
  </si>
  <si>
    <t>U14</t>
  </si>
  <si>
    <t>0411097</t>
  </si>
  <si>
    <t>Norbert Peter</t>
  </si>
  <si>
    <t>Andras</t>
  </si>
  <si>
    <t>Métropolitain</t>
  </si>
  <si>
    <t>0223679</t>
  </si>
  <si>
    <t>U18M -55V+</t>
  </si>
  <si>
    <t>seule: ok avec -36</t>
  </si>
  <si>
    <t>U14F -32V+</t>
  </si>
  <si>
    <t>si seul: ok avec -66V+</t>
  </si>
  <si>
    <t>U14M -66JO</t>
  </si>
  <si>
    <t>MudM -73VB</t>
  </si>
  <si>
    <t>2k+</t>
  </si>
  <si>
    <t>CJVR</t>
  </si>
  <si>
    <t>1999</t>
  </si>
  <si>
    <t>seule</t>
  </si>
  <si>
    <t>MudF -78JO</t>
  </si>
  <si>
    <t>U16M -38V+</t>
  </si>
  <si>
    <t>Jeffrey</t>
  </si>
  <si>
    <t>Bélanger</t>
  </si>
  <si>
    <t>0411093</t>
  </si>
  <si>
    <t>ok avec la ceinture verte JT</t>
  </si>
  <si>
    <t>U14F +63JO</t>
  </si>
  <si>
    <t>Jasmin</t>
  </si>
  <si>
    <t>Seïkidokan</t>
  </si>
  <si>
    <t>0181056</t>
  </si>
  <si>
    <t>U21/SenB M -55</t>
  </si>
  <si>
    <t>U18M -66JO</t>
  </si>
  <si>
    <t>U16F +70V+</t>
  </si>
  <si>
    <t>Univestrie/donini</t>
  </si>
  <si>
    <t>1986</t>
  </si>
  <si>
    <t>M1 -81</t>
  </si>
  <si>
    <t>Félix-Olivier</t>
  </si>
  <si>
    <t>Bertrand</t>
  </si>
  <si>
    <t>St-Jean Bosco</t>
  </si>
  <si>
    <t>0176269</t>
  </si>
  <si>
    <t>1994</t>
  </si>
  <si>
    <t>2D</t>
  </si>
  <si>
    <t>SenF -48</t>
  </si>
  <si>
    <t>1983</t>
  </si>
  <si>
    <t>M2 +100</t>
  </si>
  <si>
    <t>seul : ok avec -55</t>
  </si>
  <si>
    <t>U16M -50JO</t>
  </si>
  <si>
    <t>Marie-Lune</t>
  </si>
  <si>
    <t>Turmel</t>
  </si>
  <si>
    <t>Saint-Sauveur</t>
  </si>
  <si>
    <t>0197729</t>
  </si>
  <si>
    <t>2 divisions : U16 + U18 ; seule ;ok avec -44</t>
  </si>
  <si>
    <t>U18F -40V+</t>
  </si>
  <si>
    <t>Sara</t>
  </si>
  <si>
    <t>Ju Shin Kan</t>
  </si>
  <si>
    <t>0197837</t>
  </si>
  <si>
    <t>2 divisions : U18 + U21/Sénior B ; seule</t>
  </si>
  <si>
    <t>U21/SenB F +78</t>
  </si>
  <si>
    <t>Emilie-Anne</t>
  </si>
  <si>
    <t>Perreault</t>
  </si>
  <si>
    <t>U16</t>
  </si>
  <si>
    <t>0212202</t>
  </si>
  <si>
    <t>U16F -40V+</t>
  </si>
  <si>
    <t>Arno</t>
  </si>
  <si>
    <t>Blackière</t>
  </si>
  <si>
    <t>0156762</t>
  </si>
  <si>
    <t>2 divisions : U21/Senior B + Senior A</t>
  </si>
  <si>
    <t>SenM -60</t>
  </si>
  <si>
    <t>U21/SenB M -60</t>
  </si>
  <si>
    <t>1984</t>
  </si>
  <si>
    <t>M2 -66</t>
  </si>
  <si>
    <t>Vincent</t>
  </si>
  <si>
    <t>athlète précoce</t>
  </si>
  <si>
    <t>Dellen</t>
  </si>
  <si>
    <t>Cauden</t>
  </si>
  <si>
    <t>Judosphère</t>
  </si>
  <si>
    <t>0214471</t>
  </si>
  <si>
    <t>2 divisions : U16 + U18 ; seule</t>
  </si>
  <si>
    <t>U18F -44V+</t>
  </si>
  <si>
    <t>U14F -36JO</t>
  </si>
  <si>
    <t>U18F -48V+</t>
  </si>
  <si>
    <t>1981</t>
  </si>
  <si>
    <t>M2 -73</t>
  </si>
  <si>
    <t>U16M -42JO</t>
  </si>
  <si>
    <t>U16F -44V+</t>
  </si>
  <si>
    <t>Laurent</t>
  </si>
  <si>
    <t>Boursier</t>
  </si>
  <si>
    <t>0411103</t>
  </si>
  <si>
    <t>U16M -42V+</t>
  </si>
  <si>
    <t>Olympique</t>
  </si>
  <si>
    <t>U14F -40V+</t>
  </si>
  <si>
    <t>U14M -31V+</t>
  </si>
  <si>
    <t>Marc-Alexandre</t>
  </si>
  <si>
    <t>Guérin</t>
  </si>
  <si>
    <t>0163304</t>
  </si>
  <si>
    <t>MudF -70VB</t>
  </si>
  <si>
    <t>Léa</t>
  </si>
  <si>
    <t>Roy</t>
  </si>
  <si>
    <t>Asbestos-Danville</t>
  </si>
  <si>
    <t>0143531</t>
  </si>
  <si>
    <t xml:space="preserve">2 divisions : U21/Senior B + Senior A </t>
  </si>
  <si>
    <t>U21/SenB F -48</t>
  </si>
  <si>
    <t>2 divisions : U18 + ne-waza</t>
  </si>
  <si>
    <t>U18M -60V+</t>
  </si>
  <si>
    <t>1998</t>
  </si>
  <si>
    <t>U21/Senior Mudansha</t>
  </si>
  <si>
    <t>était inscrit U21/Senior B + senior a</t>
  </si>
  <si>
    <t>MudM -100JO</t>
  </si>
  <si>
    <t>U14M -34JO</t>
  </si>
  <si>
    <t>Sophie</t>
  </si>
  <si>
    <t>Lapointe</t>
  </si>
  <si>
    <t>Judokan Port Cartier</t>
  </si>
  <si>
    <t>0189028</t>
  </si>
  <si>
    <t>Adam</t>
  </si>
  <si>
    <t>Nuara</t>
  </si>
  <si>
    <t>0152845</t>
  </si>
  <si>
    <t>1997</t>
  </si>
  <si>
    <t>U14F -44V+</t>
  </si>
  <si>
    <t>Beatrice</t>
  </si>
  <si>
    <t>Turcotte</t>
  </si>
  <si>
    <t>Varennes</t>
  </si>
  <si>
    <t>0202799</t>
  </si>
  <si>
    <t>St-Paul l'Ermite</t>
  </si>
  <si>
    <t>M2 -81</t>
  </si>
  <si>
    <t>U16F -48V+</t>
  </si>
  <si>
    <t>1k+</t>
  </si>
  <si>
    <t>U18F -52V+</t>
  </si>
  <si>
    <t>Justin</t>
  </si>
  <si>
    <t>Tremblay</t>
  </si>
  <si>
    <t>0167519</t>
  </si>
  <si>
    <t>1969</t>
  </si>
  <si>
    <t>était inscrit en ne-waza courriel 2019-03-22</t>
  </si>
  <si>
    <t>Victor</t>
  </si>
  <si>
    <t>Dessureault</t>
  </si>
  <si>
    <t>0192159</t>
  </si>
  <si>
    <t>U14F +63V+</t>
  </si>
  <si>
    <t>Dominic</t>
  </si>
  <si>
    <t>Fortin</t>
  </si>
  <si>
    <t>1967</t>
  </si>
  <si>
    <t>0411092</t>
  </si>
  <si>
    <t>MudM -60JO</t>
  </si>
  <si>
    <t>Stanislas</t>
  </si>
  <si>
    <t>1991</t>
  </si>
  <si>
    <t>SenF -52</t>
  </si>
  <si>
    <t>Anabelle</t>
  </si>
  <si>
    <t>Cloutier</t>
  </si>
  <si>
    <t>0173224</t>
  </si>
  <si>
    <t>U21/SenB F -52</t>
  </si>
  <si>
    <t>U16M -46V+</t>
  </si>
  <si>
    <t>U14F -48V+</t>
  </si>
  <si>
    <t>Olivier</t>
  </si>
  <si>
    <t>Legault</t>
  </si>
  <si>
    <t>0189014</t>
  </si>
  <si>
    <t>Félix</t>
  </si>
  <si>
    <t>Archambault</t>
  </si>
  <si>
    <t>Saint-Hyacinthe</t>
  </si>
  <si>
    <t>0161072</t>
  </si>
  <si>
    <t>U21/SenB M -66</t>
  </si>
  <si>
    <t>Philip</t>
  </si>
  <si>
    <t>Dion</t>
  </si>
  <si>
    <t>Boucherville</t>
  </si>
  <si>
    <t>0107241</t>
  </si>
  <si>
    <t>2 divisions : Senior A + Ne-waza</t>
  </si>
  <si>
    <t>SenM -66</t>
  </si>
  <si>
    <t>U14M -34V+</t>
  </si>
  <si>
    <t>U16M -50V+</t>
  </si>
  <si>
    <t>U16F -48JO</t>
  </si>
  <si>
    <t>Budo Kwai</t>
  </si>
  <si>
    <t>1975</t>
  </si>
  <si>
    <t>M3 +100</t>
  </si>
  <si>
    <t>1978</t>
  </si>
  <si>
    <t>1976</t>
  </si>
  <si>
    <t>M3 -100</t>
  </si>
  <si>
    <t>U16M -46JO</t>
  </si>
  <si>
    <t>U18M -73JO</t>
  </si>
  <si>
    <t>Jean-Pascal</t>
  </si>
  <si>
    <t>Coulombe</t>
  </si>
  <si>
    <t>Sept-Iles</t>
  </si>
  <si>
    <t>0182492</t>
  </si>
  <si>
    <t>M3 -66</t>
  </si>
  <si>
    <t>Emile</t>
  </si>
  <si>
    <t>Forbes</t>
  </si>
  <si>
    <t>0239288</t>
  </si>
  <si>
    <t>Magalie</t>
  </si>
  <si>
    <t>0231049</t>
  </si>
  <si>
    <t>Mathilde</t>
  </si>
  <si>
    <t>0411091</t>
  </si>
  <si>
    <t>Antoine-Olivier</t>
  </si>
  <si>
    <t>Jean-Senechal</t>
  </si>
  <si>
    <t>0239279</t>
  </si>
  <si>
    <t>1996</t>
  </si>
  <si>
    <t>MudM -73JO</t>
  </si>
  <si>
    <t>U14M -38JO</t>
  </si>
  <si>
    <t>Anthony</t>
  </si>
  <si>
    <t>Rodrigue</t>
  </si>
  <si>
    <t>Judo Beauce</t>
  </si>
  <si>
    <t>0220501</t>
  </si>
  <si>
    <t>U14F -40JO</t>
  </si>
  <si>
    <t>Artem</t>
  </si>
  <si>
    <t>Shaporin</t>
  </si>
  <si>
    <t>0197662</t>
  </si>
  <si>
    <t>U16F -52V+</t>
  </si>
  <si>
    <t>U14F -52V+</t>
  </si>
  <si>
    <t>Charlesbourg</t>
  </si>
  <si>
    <t>U18M -66V+</t>
  </si>
  <si>
    <t>Leftraru</t>
  </si>
  <si>
    <t>Gonzalez-Tucas</t>
  </si>
  <si>
    <t>Judo Monde</t>
  </si>
  <si>
    <t>0168390</t>
  </si>
  <si>
    <t>U18F -70JO</t>
  </si>
  <si>
    <t>U16M -55JO</t>
  </si>
  <si>
    <t>1977</t>
  </si>
  <si>
    <t>4D</t>
  </si>
  <si>
    <t>Jethro</t>
  </si>
  <si>
    <t>Sanz-Robinson</t>
  </si>
  <si>
    <t>1992</t>
  </si>
  <si>
    <t>0179896</t>
  </si>
  <si>
    <t>2 divisions : U21/Senior B + Ne-waza</t>
  </si>
  <si>
    <t>To Haku kan</t>
  </si>
  <si>
    <t>U14M -38V+</t>
  </si>
  <si>
    <t>Marie-Pier</t>
  </si>
  <si>
    <t>Gingras</t>
  </si>
  <si>
    <t>Vieille Capitale</t>
  </si>
  <si>
    <t>0230466</t>
  </si>
  <si>
    <t>1972</t>
  </si>
  <si>
    <t>3D</t>
  </si>
  <si>
    <t>NewazaVet M -81</t>
  </si>
  <si>
    <t>U16M -55V+</t>
  </si>
  <si>
    <r>
      <t>2 divisions :</t>
    </r>
    <r>
      <rPr>
        <strike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U18 et U21 </t>
    </r>
  </si>
  <si>
    <t>M3 -73</t>
  </si>
  <si>
    <t>Lemire</t>
  </si>
  <si>
    <t>0143882</t>
  </si>
  <si>
    <t>David</t>
  </si>
  <si>
    <t>Popovici</t>
  </si>
  <si>
    <t>0201231</t>
  </si>
  <si>
    <t>Ne waza</t>
  </si>
  <si>
    <t>U14F -44JO</t>
  </si>
  <si>
    <t>Dylan</t>
  </si>
  <si>
    <t>0411094</t>
  </si>
  <si>
    <t>M3 -81</t>
  </si>
  <si>
    <t>athlète précoce : 2 divisions : U14+U16</t>
  </si>
  <si>
    <t>1988</t>
  </si>
  <si>
    <t>SenF +78</t>
  </si>
  <si>
    <t>U14M -42JO</t>
  </si>
  <si>
    <t>Jacob</t>
  </si>
  <si>
    <t>Trudel</t>
  </si>
  <si>
    <t>0152930</t>
  </si>
  <si>
    <t>U14M -66V+</t>
  </si>
  <si>
    <t>U16F -57V+</t>
  </si>
  <si>
    <t>Leslie</t>
  </si>
  <si>
    <t>Larue</t>
  </si>
  <si>
    <t>0218227</t>
  </si>
  <si>
    <t>U18F -48JO</t>
  </si>
  <si>
    <t>U14M -42V+</t>
  </si>
  <si>
    <t>U18F -57V+</t>
  </si>
  <si>
    <t>Felix</t>
  </si>
  <si>
    <t>Mercier Ross</t>
  </si>
  <si>
    <t>0204120</t>
  </si>
  <si>
    <t>U21/SenB M -73</t>
  </si>
  <si>
    <t>U16F -70JO</t>
  </si>
  <si>
    <t>athlète précoce / 2 divisions : U16+U18</t>
  </si>
  <si>
    <t>MudF -63VB</t>
  </si>
  <si>
    <t>Théo</t>
  </si>
  <si>
    <t>Leclerc</t>
  </si>
  <si>
    <t>0411096</t>
  </si>
  <si>
    <t>U18M -90V+</t>
  </si>
  <si>
    <t>MudM -81JO</t>
  </si>
  <si>
    <t>Newaza M -81</t>
  </si>
  <si>
    <t>Alec</t>
  </si>
  <si>
    <t>Garand</t>
  </si>
  <si>
    <t>Zenshin</t>
  </si>
  <si>
    <t>0169892</t>
  </si>
  <si>
    <t>Malcolm</t>
  </si>
  <si>
    <t>Pelletier</t>
  </si>
  <si>
    <t>0158232</t>
  </si>
  <si>
    <t>Guillaume</t>
  </si>
  <si>
    <t>Gaulin</t>
  </si>
  <si>
    <t>0138661</t>
  </si>
  <si>
    <t>U16F -52JO</t>
  </si>
  <si>
    <t>Nathan</t>
  </si>
  <si>
    <t>Sauriol</t>
  </si>
  <si>
    <t>0173782</t>
  </si>
  <si>
    <t>Gougeon-Gazé</t>
  </si>
  <si>
    <t>0154674</t>
  </si>
  <si>
    <t>SenM -73</t>
  </si>
  <si>
    <t>U16M -60V+</t>
  </si>
  <si>
    <t>1993</t>
  </si>
  <si>
    <t>SenF -57</t>
  </si>
  <si>
    <t>Laurence</t>
  </si>
  <si>
    <t>Biron</t>
  </si>
  <si>
    <t>0172969</t>
  </si>
  <si>
    <t>U21/SenB F -63</t>
  </si>
  <si>
    <t>1980</t>
  </si>
  <si>
    <t>Athlète précoce : 2 divisions : U14 +U16</t>
  </si>
  <si>
    <t>Jules</t>
  </si>
  <si>
    <t>Martin</t>
  </si>
  <si>
    <t>Seiko</t>
  </si>
  <si>
    <t>0102045</t>
  </si>
  <si>
    <t>SenF -63</t>
  </si>
  <si>
    <t>1979</t>
  </si>
  <si>
    <t>Master</t>
  </si>
  <si>
    <t>U16F -36JO</t>
  </si>
  <si>
    <t>M3 -90</t>
  </si>
  <si>
    <t>U14M -46JO</t>
  </si>
  <si>
    <t>U14M -46V+</t>
  </si>
  <si>
    <t>1987</t>
  </si>
  <si>
    <t>U16M -73JO</t>
  </si>
  <si>
    <t>Franko</t>
  </si>
  <si>
    <t>Carvajal</t>
  </si>
  <si>
    <t>0221122</t>
  </si>
  <si>
    <t>2 divisions : U21/Senior B + Mudansha</t>
  </si>
  <si>
    <t>MudM -81VB</t>
  </si>
  <si>
    <t>U14F -63JO</t>
  </si>
  <si>
    <t>U16M -66V+</t>
  </si>
  <si>
    <t>SenM -81</t>
  </si>
  <si>
    <t>Toupin</t>
  </si>
  <si>
    <t>Lévis</t>
  </si>
  <si>
    <t>0168496</t>
  </si>
  <si>
    <t>2 divisions : Master + Ne-waza</t>
  </si>
  <si>
    <t>U14F -57V+</t>
  </si>
  <si>
    <t>U18M -60JO</t>
  </si>
  <si>
    <t>U18M -73V+</t>
  </si>
  <si>
    <t>U21/SenB M -81</t>
  </si>
  <si>
    <t>Jérémy</t>
  </si>
  <si>
    <t>Labrie</t>
  </si>
  <si>
    <t>0182470</t>
  </si>
  <si>
    <t>U16F -63V+</t>
  </si>
  <si>
    <t>Ilhem</t>
  </si>
  <si>
    <t>Ouali</t>
  </si>
  <si>
    <t>0145627</t>
  </si>
  <si>
    <t>Munkhjin</t>
  </si>
  <si>
    <t>Batdorj</t>
  </si>
  <si>
    <t>0181144</t>
  </si>
  <si>
    <t>1989</t>
  </si>
  <si>
    <t>Pascal</t>
  </si>
  <si>
    <t>D'astous</t>
  </si>
  <si>
    <t>0230035</t>
  </si>
  <si>
    <t>Gallien</t>
  </si>
  <si>
    <t>U14M -50JO</t>
  </si>
  <si>
    <t>1974</t>
  </si>
  <si>
    <t>M4 -100</t>
  </si>
  <si>
    <t>M4 -66</t>
  </si>
  <si>
    <t>Etienne</t>
  </si>
  <si>
    <t>1970</t>
  </si>
  <si>
    <t>0194063</t>
  </si>
  <si>
    <t>M4 -81</t>
  </si>
  <si>
    <t>Beaulac</t>
  </si>
  <si>
    <t>0187998</t>
  </si>
  <si>
    <t>U16M -66JO</t>
  </si>
  <si>
    <t>Était inscrit en Senior A: courriel le 17 mars</t>
  </si>
  <si>
    <t>SenM -90</t>
  </si>
  <si>
    <t>U14M -50V+</t>
  </si>
  <si>
    <t>U18F -63V+</t>
  </si>
  <si>
    <t>Jonthan</t>
  </si>
  <si>
    <t>Hachiya-Collette</t>
  </si>
  <si>
    <t>Torakai</t>
  </si>
  <si>
    <t>0221558</t>
  </si>
  <si>
    <t>1968</t>
  </si>
  <si>
    <t>M5 -81</t>
  </si>
  <si>
    <t>Sophia</t>
  </si>
  <si>
    <t>Camire-Wan</t>
  </si>
  <si>
    <t>0211816</t>
  </si>
  <si>
    <t>2 divisions : U21/Senior B + Senior A ; seule</t>
  </si>
  <si>
    <t>SenF -70</t>
  </si>
  <si>
    <t>Marianne</t>
  </si>
  <si>
    <t>Roux</t>
  </si>
  <si>
    <t>0197470</t>
  </si>
  <si>
    <t>Thomas</t>
  </si>
  <si>
    <t>Badat</t>
  </si>
  <si>
    <t>Judo Victo</t>
  </si>
  <si>
    <t>0100436</t>
  </si>
  <si>
    <t>Newaza M -90</t>
  </si>
  <si>
    <t>Simon</t>
  </si>
  <si>
    <t>Vallière</t>
  </si>
  <si>
    <t>0175406</t>
  </si>
  <si>
    <t>U16M -73V+</t>
  </si>
  <si>
    <t>Jérôme</t>
  </si>
  <si>
    <t>Champagne</t>
  </si>
  <si>
    <t>0173008</t>
  </si>
  <si>
    <t>U14M -55JO</t>
  </si>
  <si>
    <t>U14M -55V+</t>
  </si>
  <si>
    <t>Lara</t>
  </si>
  <si>
    <t>Normil</t>
  </si>
  <si>
    <t>0217568</t>
  </si>
  <si>
    <t>Athlète précoce : 2 divisions : U16+U18</t>
  </si>
  <si>
    <t>1995</t>
  </si>
  <si>
    <t>Levesque Lessard</t>
  </si>
  <si>
    <t>0208174</t>
  </si>
  <si>
    <t>Yuriy</t>
  </si>
  <si>
    <t>Semenyuk</t>
  </si>
  <si>
    <t>0197665</t>
  </si>
  <si>
    <t>U21/SenB M -90</t>
  </si>
  <si>
    <t>1985</t>
  </si>
  <si>
    <t>U21/SenB F -70</t>
  </si>
  <si>
    <t>U18M -81V+</t>
  </si>
  <si>
    <t>U14M -60JO</t>
  </si>
  <si>
    <t>U21/SenB F -78</t>
  </si>
  <si>
    <t>Josie-Anne</t>
  </si>
  <si>
    <t>Synott</t>
  </si>
  <si>
    <t>0212183</t>
  </si>
  <si>
    <t>SenF -78</t>
  </si>
  <si>
    <t>U16F -70V+</t>
  </si>
  <si>
    <t>Jonathan</t>
  </si>
  <si>
    <t>Monger</t>
  </si>
  <si>
    <t>à venir</t>
  </si>
  <si>
    <t>M5 -90</t>
  </si>
  <si>
    <t>Jeremy</t>
  </si>
  <si>
    <t>Lemieux</t>
  </si>
  <si>
    <t>0155858</t>
  </si>
  <si>
    <t>Marc-André</t>
  </si>
  <si>
    <t>Paquet</t>
  </si>
  <si>
    <t>0074884</t>
  </si>
  <si>
    <t>0411095</t>
  </si>
  <si>
    <t>U14M -60V+</t>
  </si>
  <si>
    <t>MudM -90JO</t>
  </si>
  <si>
    <t>Rosalie</t>
  </si>
  <si>
    <t>Gendron</t>
  </si>
  <si>
    <t>0221610</t>
  </si>
  <si>
    <t>U18F -70V+</t>
  </si>
  <si>
    <t>ok avec la JO</t>
  </si>
  <si>
    <t>pèse 89.7</t>
  </si>
  <si>
    <t>MudM -90VB</t>
  </si>
  <si>
    <t>Plourde</t>
  </si>
  <si>
    <t>0100206</t>
  </si>
  <si>
    <t>U14F -36V+</t>
  </si>
  <si>
    <t>5D</t>
  </si>
  <si>
    <t>si seul. Ok avec -42jo</t>
  </si>
  <si>
    <t>U16M -38JO</t>
  </si>
  <si>
    <t>Personnes seules</t>
  </si>
  <si>
    <t>Ramy</t>
  </si>
  <si>
    <t>Aba</t>
  </si>
  <si>
    <t>+90</t>
  </si>
  <si>
    <t>0163672</t>
  </si>
  <si>
    <t>Laurance</t>
  </si>
  <si>
    <t>-70</t>
  </si>
  <si>
    <t>0408321</t>
  </si>
  <si>
    <t>U21/SenB F -70V+</t>
  </si>
  <si>
    <t>SenF -70B+</t>
  </si>
  <si>
    <t>plus proche = -73</t>
  </si>
  <si>
    <t>Benjamin</t>
  </si>
  <si>
    <t>Charretton-Delagrave</t>
  </si>
  <si>
    <t>Kiseki Judo</t>
  </si>
  <si>
    <t>-66</t>
  </si>
  <si>
    <t>0189918</t>
  </si>
  <si>
    <t>MudM -66VB</t>
  </si>
  <si>
    <t>Marie Celeste</t>
  </si>
  <si>
    <t>Dalpra</t>
  </si>
  <si>
    <t>CMR Saint-Jean</t>
  </si>
  <si>
    <t>-63</t>
  </si>
  <si>
    <t>0409438</t>
  </si>
  <si>
    <t>seule, 72.7</t>
  </si>
  <si>
    <t>MudF -63JO</t>
  </si>
  <si>
    <t>U21/SenB F +78V+</t>
  </si>
  <si>
    <t>Nesar</t>
  </si>
  <si>
    <t>El Hama</t>
  </si>
  <si>
    <t>Budokan Saint-Laurent</t>
  </si>
  <si>
    <t>0188074</t>
  </si>
  <si>
    <t>Rami</t>
  </si>
  <si>
    <t>-50</t>
  </si>
  <si>
    <t>0234870</t>
  </si>
  <si>
    <t>U16F -44JO</t>
  </si>
  <si>
    <t>Lucas</t>
  </si>
  <si>
    <t>Gaspar Albuqurque</t>
  </si>
  <si>
    <t>-42</t>
  </si>
  <si>
    <t>0214621</t>
  </si>
  <si>
    <t>Florence</t>
  </si>
  <si>
    <t>Gohier</t>
  </si>
  <si>
    <t>Rikidokan</t>
  </si>
  <si>
    <t>+63</t>
  </si>
  <si>
    <t>0211471</t>
  </si>
  <si>
    <t>seule/ pas avec U16 JT</t>
  </si>
  <si>
    <t>Zoe</t>
  </si>
  <si>
    <t>La Vergne</t>
  </si>
  <si>
    <t>-48</t>
  </si>
  <si>
    <t>0205610</t>
  </si>
  <si>
    <t>Labonte</t>
  </si>
  <si>
    <t>Do-Raku</t>
  </si>
  <si>
    <t>0231811</t>
  </si>
  <si>
    <t>Marie-Soleil</t>
  </si>
  <si>
    <t>+78</t>
  </si>
  <si>
    <t>0012828</t>
  </si>
  <si>
    <t>SenF +78B+</t>
  </si>
  <si>
    <t>Laporte</t>
  </si>
  <si>
    <t>0181590</t>
  </si>
  <si>
    <t>Megan</t>
  </si>
  <si>
    <t>Levesque</t>
  </si>
  <si>
    <t>La Pocatiere</t>
  </si>
  <si>
    <t>0207159</t>
  </si>
  <si>
    <t>Elias</t>
  </si>
  <si>
    <t>Louahla</t>
  </si>
  <si>
    <t>-90</t>
  </si>
  <si>
    <t>0221733</t>
  </si>
  <si>
    <t>Marwa</t>
  </si>
  <si>
    <t>Misraoui</t>
  </si>
  <si>
    <t>St-Leonard</t>
  </si>
  <si>
    <t>-52</t>
  </si>
  <si>
    <t>0410442</t>
  </si>
  <si>
    <t>non-éligible senior B ; courriel 22/03/2019 ; seul</t>
  </si>
  <si>
    <t>Camylle</t>
  </si>
  <si>
    <t>Parent</t>
  </si>
  <si>
    <t xml:space="preserve">Tani </t>
  </si>
  <si>
    <t>-36</t>
  </si>
  <si>
    <t>0217388</t>
  </si>
  <si>
    <t>Javier</t>
  </si>
  <si>
    <t>Quiroga Iroheta</t>
  </si>
  <si>
    <t>-73</t>
  </si>
  <si>
    <t>0167526</t>
  </si>
  <si>
    <t>Redouane</t>
  </si>
  <si>
    <t>Sahki</t>
  </si>
  <si>
    <t>-60</t>
  </si>
  <si>
    <t>0413111</t>
  </si>
  <si>
    <t>Derek</t>
  </si>
  <si>
    <t>Verreault</t>
  </si>
  <si>
    <t>0236391</t>
  </si>
  <si>
    <t>MudM -66JO</t>
  </si>
  <si>
    <t>Ward</t>
  </si>
  <si>
    <t>0174347</t>
  </si>
  <si>
    <t>John</t>
  </si>
  <si>
    <t>Young</t>
  </si>
  <si>
    <t>0409442</t>
  </si>
  <si>
    <t>seul, 78.1</t>
  </si>
  <si>
    <t>Amer</t>
  </si>
  <si>
    <t>Zerrad</t>
  </si>
  <si>
    <t>-38</t>
  </si>
  <si>
    <t>0235319</t>
  </si>
  <si>
    <t>Inscriptions erronées ou incomplètes</t>
  </si>
  <si>
    <t>Retraits</t>
  </si>
  <si>
    <t>Sakura</t>
  </si>
  <si>
    <t>Zachary</t>
  </si>
  <si>
    <t>Gonthier</t>
  </si>
  <si>
    <t>0217386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</si>
</sst>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herrien/AppData/Local/Microsoft/Windows/INetCache/Content.Outlook/BDL60U7J/Judo%20BC%20Athlete%20&amp;%20Coach%20registration%20for%20Quebec%20Op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"/>
      <sheetName val="Feuil2"/>
    </sheetNames>
    <sheetDataSet>
      <sheetData sheetId="0"/>
      <sheetData sheetId="1">
        <row r="1">
          <cell r="A1" t="str">
            <v>F</v>
          </cell>
        </row>
        <row r="2">
          <cell r="A2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737"/>
  <sheetViews>
    <sheetView tabSelected="1" zoomScaleNormal="100" workbookViewId="0">
      <pane xSplit="2" ySplit="1" topLeftCell="C278" activePane="bottomRight" state="frozen"/>
      <selection activeCell="A2" sqref="A2:O737"/>
      <selection pane="topRight" activeCell="A2" sqref="A2:O737"/>
      <selection pane="bottomLeft" activeCell="A2" sqref="A2:O737"/>
      <selection pane="bottomRight" activeCell="A2" sqref="A2:O737"/>
    </sheetView>
  </sheetViews>
  <sheetFormatPr baseColWidth="10" defaultColWidth="28" defaultRowHeight="15" x14ac:dyDescent="0.25"/>
  <cols>
    <col min="1" max="1" width="17" customWidth="1"/>
    <col min="2" max="2" width="18.140625" customWidth="1"/>
    <col min="3" max="3" width="20" customWidth="1"/>
    <col min="4" max="4" width="7.5703125" customWidth="1"/>
    <col min="5" max="5" width="9.140625" customWidth="1"/>
    <col min="6" max="6" width="9.42578125" customWidth="1"/>
    <col min="7" max="7" width="14" customWidth="1"/>
    <col min="8" max="8" width="7.28515625" style="1" customWidth="1"/>
    <col min="9" max="11" width="7.28515625" customWidth="1"/>
    <col min="12" max="12" width="10.85546875" customWidth="1"/>
    <col min="13" max="13" width="33.85546875" customWidth="1"/>
    <col min="14" max="14" width="21.140625" customWidth="1"/>
    <col min="15" max="15" width="28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  <c r="J1" t="s">
        <v>9</v>
      </c>
      <c r="K1" t="str">
        <f>"PROVINCE/STATE (CANADA/US) OR COUNTRY"</f>
        <v>PROVINCE/STATE (CANADA/US) OR COUNTRY</v>
      </c>
      <c r="L1" t="s">
        <v>10</v>
      </c>
      <c r="M1" t="s">
        <v>11</v>
      </c>
      <c r="N1" t="s">
        <v>12</v>
      </c>
      <c r="O1" t="s">
        <v>13</v>
      </c>
    </row>
    <row r="2" spans="1:15" hidden="1" x14ac:dyDescent="0.25">
      <c r="A2" t="str">
        <f>"Lowell"</f>
        <v>Lowell</v>
      </c>
      <c r="B2" t="str">
        <f>"Harvey"</f>
        <v>Harvey</v>
      </c>
      <c r="C2" t="str">
        <f>"Albatros"</f>
        <v>Albatros</v>
      </c>
      <c r="D2" t="str">
        <f t="shared" ref="D2:D9" si="0">"M"</f>
        <v>M</v>
      </c>
      <c r="E2" t="s">
        <v>14</v>
      </c>
      <c r="F2" t="s">
        <v>15</v>
      </c>
      <c r="G2" t="str">
        <f>"U14"</f>
        <v>U14</v>
      </c>
      <c r="H2" t="str">
        <f>"+66"</f>
        <v>+66</v>
      </c>
      <c r="I2" t="str">
        <f>"0239535"</f>
        <v>0239535</v>
      </c>
      <c r="J2" t="str">
        <f t="shared" ref="J2:J12" si="1">"Yes"</f>
        <v>Yes</v>
      </c>
      <c r="K2" t="str">
        <f t="shared" ref="K2:K12" si="2">"Quebec"</f>
        <v>Quebec</v>
      </c>
      <c r="N2" t="s">
        <v>16</v>
      </c>
    </row>
    <row r="3" spans="1:15" x14ac:dyDescent="0.25">
      <c r="A3" t="str">
        <f>"Ramy"</f>
        <v>Ramy</v>
      </c>
      <c r="B3" t="str">
        <f>"Aba"</f>
        <v>Aba</v>
      </c>
      <c r="C3" t="str">
        <f>"St-Paul l'Ermite"</f>
        <v>St-Paul l'Ermite</v>
      </c>
      <c r="D3" t="str">
        <f>"M"</f>
        <v>M</v>
      </c>
      <c r="E3" t="s">
        <v>17</v>
      </c>
      <c r="F3" t="s">
        <v>18</v>
      </c>
      <c r="G3" t="str">
        <f>"U18"</f>
        <v>U18</v>
      </c>
      <c r="H3" t="str">
        <f>"+90"</f>
        <v>+90</v>
      </c>
      <c r="I3" t="str">
        <f>"0163672"</f>
        <v>0163672</v>
      </c>
      <c r="J3" t="str">
        <f>"Yes"</f>
        <v>Yes</v>
      </c>
      <c r="K3" t="str">
        <f>"Quebec"</f>
        <v>Quebec</v>
      </c>
      <c r="M3" t="s">
        <v>19</v>
      </c>
      <c r="N3" t="s">
        <v>20</v>
      </c>
    </row>
    <row r="4" spans="1:15" hidden="1" x14ac:dyDescent="0.25">
      <c r="A4" t="str">
        <f>"Adel"</f>
        <v>Adel</v>
      </c>
      <c r="B4" t="str">
        <f>"Abane"</f>
        <v>Abane</v>
      </c>
      <c r="C4" t="str">
        <f>"Torii"</f>
        <v>Torii</v>
      </c>
      <c r="D4" t="str">
        <f>"M"</f>
        <v>M</v>
      </c>
      <c r="E4" t="s">
        <v>21</v>
      </c>
      <c r="F4" t="s">
        <v>22</v>
      </c>
      <c r="G4" t="str">
        <f>"U12"</f>
        <v>U12</v>
      </c>
      <c r="H4" t="str">
        <f>"-30"</f>
        <v>-30</v>
      </c>
      <c r="I4" t="str">
        <f>"0205876"</f>
        <v>0205876</v>
      </c>
      <c r="J4" t="str">
        <f>"Yes"</f>
        <v>Yes</v>
      </c>
      <c r="K4" t="str">
        <f>"Quebec"</f>
        <v>Quebec</v>
      </c>
      <c r="N4" t="s">
        <v>23</v>
      </c>
    </row>
    <row r="5" spans="1:15" hidden="1" x14ac:dyDescent="0.25">
      <c r="A5" t="str">
        <f>"Chris-Roi"</f>
        <v>Chris-Roi</v>
      </c>
      <c r="B5" t="str">
        <f>"Nzirabisa"</f>
        <v>Nzirabisa</v>
      </c>
      <c r="C5" t="str">
        <f>"Seiko"</f>
        <v>Seiko</v>
      </c>
      <c r="D5" t="str">
        <f>"M"</f>
        <v>M</v>
      </c>
      <c r="E5" t="s">
        <v>14</v>
      </c>
      <c r="F5" t="s">
        <v>15</v>
      </c>
      <c r="G5" t="str">
        <f>"U14"</f>
        <v>U14</v>
      </c>
      <c r="H5" t="str">
        <f>"+66"</f>
        <v>+66</v>
      </c>
      <c r="I5" t="str">
        <f>"0414324"</f>
        <v>0414324</v>
      </c>
      <c r="J5" t="str">
        <f>"Yes"</f>
        <v>Yes</v>
      </c>
      <c r="K5" t="str">
        <f>"Quebec"</f>
        <v>Quebec</v>
      </c>
      <c r="N5" t="s">
        <v>16</v>
      </c>
    </row>
    <row r="6" spans="1:15" x14ac:dyDescent="0.25">
      <c r="A6" t="str">
        <f>"Raphael"</f>
        <v>Raphael</v>
      </c>
      <c r="B6" t="str">
        <f>"Brûlé"</f>
        <v>Brûlé</v>
      </c>
      <c r="C6" t="str">
        <f>"Ghishintaido inc."</f>
        <v>Ghishintaido inc.</v>
      </c>
      <c r="D6" t="str">
        <f>"M"</f>
        <v>M</v>
      </c>
      <c r="E6" t="s">
        <v>24</v>
      </c>
      <c r="F6" s="2" t="s">
        <v>18</v>
      </c>
      <c r="G6" t="s">
        <v>25</v>
      </c>
      <c r="H6" t="str">
        <f>"-46"</f>
        <v>-46</v>
      </c>
      <c r="I6" t="str">
        <f>"0153307"</f>
        <v>0153307</v>
      </c>
      <c r="J6" t="str">
        <f>"Yes"</f>
        <v>Yes</v>
      </c>
      <c r="K6" t="str">
        <f>"Quebec"</f>
        <v>Quebec</v>
      </c>
      <c r="N6" t="s">
        <v>26</v>
      </c>
    </row>
    <row r="7" spans="1:15" x14ac:dyDescent="0.25">
      <c r="A7" t="str">
        <f>"Victor"</f>
        <v>Victor</v>
      </c>
      <c r="B7" t="str">
        <f>"Roy"</f>
        <v>Roy</v>
      </c>
      <c r="C7" t="str">
        <f>"Asbestos-Danville"</f>
        <v>Asbestos-Danville</v>
      </c>
      <c r="D7" t="str">
        <f>"M"</f>
        <v>M</v>
      </c>
      <c r="E7" t="s">
        <v>27</v>
      </c>
      <c r="F7" t="s">
        <v>18</v>
      </c>
      <c r="G7" t="str">
        <f>"U18"</f>
        <v>U18</v>
      </c>
      <c r="H7" t="str">
        <f>"-46"</f>
        <v>-46</v>
      </c>
      <c r="I7" t="str">
        <f>"0162278"</f>
        <v>0162278</v>
      </c>
      <c r="J7" t="str">
        <f>"Yes"</f>
        <v>Yes</v>
      </c>
      <c r="K7" t="str">
        <f>"Quebec"</f>
        <v>Quebec</v>
      </c>
      <c r="N7" t="s">
        <v>26</v>
      </c>
    </row>
    <row r="8" spans="1:15" hidden="1" x14ac:dyDescent="0.25">
      <c r="A8" t="str">
        <f>"Anton"</f>
        <v>Anton</v>
      </c>
      <c r="B8" t="str">
        <f>"Dickson"</f>
        <v>Dickson</v>
      </c>
      <c r="C8" t="s">
        <v>28</v>
      </c>
      <c r="D8" t="str">
        <f>"M"</f>
        <v>M</v>
      </c>
      <c r="E8" t="s">
        <v>29</v>
      </c>
      <c r="F8" t="s">
        <v>30</v>
      </c>
      <c r="G8" t="str">
        <f>"U21/Senior B"</f>
        <v>U21/Senior B</v>
      </c>
      <c r="H8" t="str">
        <f>"-100"</f>
        <v>-100</v>
      </c>
      <c r="I8" t="str">
        <f>"0136418"</f>
        <v>0136418</v>
      </c>
      <c r="J8" t="str">
        <f>"Yes"</f>
        <v>Yes</v>
      </c>
      <c r="K8" t="str">
        <f>"Quebec"</f>
        <v>Quebec</v>
      </c>
      <c r="N8" t="s">
        <v>31</v>
      </c>
    </row>
    <row r="9" spans="1:15" hidden="1" x14ac:dyDescent="0.25">
      <c r="A9" t="str">
        <f>"Rayan"</f>
        <v>Rayan</v>
      </c>
      <c r="B9" t="str">
        <f>"Bélal"</f>
        <v>Bélal</v>
      </c>
      <c r="C9" t="str">
        <f>"Olympique"</f>
        <v>Olympique</v>
      </c>
      <c r="D9" t="str">
        <f>"M"</f>
        <v>M</v>
      </c>
      <c r="E9" t="s">
        <v>32</v>
      </c>
      <c r="F9" t="s">
        <v>33</v>
      </c>
      <c r="G9" t="str">
        <f>"U16"</f>
        <v>U16</v>
      </c>
      <c r="H9" t="str">
        <f>"+73"</f>
        <v>+73</v>
      </c>
      <c r="I9" t="str">
        <f>"0185407"</f>
        <v>0185407</v>
      </c>
      <c r="J9" t="str">
        <f>"Yes"</f>
        <v>Yes</v>
      </c>
      <c r="K9" t="str">
        <f>"Quebec"</f>
        <v>Quebec</v>
      </c>
      <c r="N9" t="s">
        <v>34</v>
      </c>
    </row>
    <row r="10" spans="1:15" x14ac:dyDescent="0.25">
      <c r="A10" t="str">
        <f>"Sara"</f>
        <v>Sara</v>
      </c>
      <c r="B10" t="str">
        <f>"Desbiens"</f>
        <v>Desbiens</v>
      </c>
      <c r="C10" t="str">
        <f>"Ju Shin Kan"</f>
        <v>Ju Shin Kan</v>
      </c>
      <c r="D10" t="str">
        <f>"F"</f>
        <v>F</v>
      </c>
      <c r="E10" t="s">
        <v>17</v>
      </c>
      <c r="F10" t="s">
        <v>18</v>
      </c>
      <c r="G10" t="s">
        <v>25</v>
      </c>
      <c r="H10" s="2" t="str">
        <f>"+70"</f>
        <v>+70</v>
      </c>
      <c r="I10" t="str">
        <f>"0197837"</f>
        <v>0197837</v>
      </c>
      <c r="J10" t="str">
        <f>"Yes"</f>
        <v>Yes</v>
      </c>
      <c r="K10" t="str">
        <f>"Quebec"</f>
        <v>Quebec</v>
      </c>
      <c r="M10" t="s">
        <v>35</v>
      </c>
      <c r="N10" t="s">
        <v>36</v>
      </c>
    </row>
    <row r="11" spans="1:15" hidden="1" x14ac:dyDescent="0.25">
      <c r="A11" t="str">
        <f>"Noe"</f>
        <v>Noe</v>
      </c>
      <c r="B11" t="str">
        <f>"Alain"</f>
        <v>Alain</v>
      </c>
      <c r="C11" t="str">
        <f>"Hontaï Dojo"</f>
        <v>Hontaï Dojo</v>
      </c>
      <c r="D11" t="str">
        <f>"M"</f>
        <v>M</v>
      </c>
      <c r="E11" t="s">
        <v>21</v>
      </c>
      <c r="F11" t="s">
        <v>37</v>
      </c>
      <c r="G11" t="str">
        <f>"U12"</f>
        <v>U12</v>
      </c>
      <c r="H11" t="str">
        <f>"-36"</f>
        <v>-36</v>
      </c>
      <c r="I11" t="str">
        <f>"0225857"</f>
        <v>0225857</v>
      </c>
      <c r="J11" t="str">
        <f>"Yes"</f>
        <v>Yes</v>
      </c>
      <c r="K11" t="str">
        <f>"Quebec"</f>
        <v>Quebec</v>
      </c>
      <c r="N11" t="s">
        <v>23</v>
      </c>
    </row>
    <row r="12" spans="1:15" hidden="1" x14ac:dyDescent="0.25">
      <c r="A12" t="str">
        <f>"Loïc-Olivier"</f>
        <v>Loïc-Olivier</v>
      </c>
      <c r="B12" t="str">
        <f>"Duhamel"</f>
        <v>Duhamel</v>
      </c>
      <c r="C12" t="str">
        <f>"CJVR"</f>
        <v>CJVR</v>
      </c>
      <c r="D12" t="str">
        <f>"M"</f>
        <v>M</v>
      </c>
      <c r="E12" t="s">
        <v>38</v>
      </c>
      <c r="F12" t="s">
        <v>39</v>
      </c>
      <c r="G12" t="str">
        <f>"U14"</f>
        <v>U14</v>
      </c>
      <c r="H12" t="str">
        <f>"+66"</f>
        <v>+66</v>
      </c>
      <c r="I12" t="str">
        <f>"0177323"</f>
        <v>0177323</v>
      </c>
      <c r="J12" t="str">
        <f>"Yes"</f>
        <v>Yes</v>
      </c>
      <c r="K12" t="str">
        <f>"Quebec"</f>
        <v>Quebec</v>
      </c>
      <c r="N12" t="s">
        <v>40</v>
      </c>
    </row>
    <row r="13" spans="1:15" x14ac:dyDescent="0.25">
      <c r="A13" t="s">
        <v>41</v>
      </c>
      <c r="B13" t="s">
        <v>42</v>
      </c>
      <c r="C13" t="s">
        <v>43</v>
      </c>
      <c r="D13" t="s">
        <v>44</v>
      </c>
      <c r="E13" t="s">
        <v>24</v>
      </c>
      <c r="F13" t="s">
        <v>39</v>
      </c>
      <c r="G13" t="s">
        <v>25</v>
      </c>
      <c r="H13">
        <v>70</v>
      </c>
      <c r="I13" t="s">
        <v>45</v>
      </c>
      <c r="J13" t="s">
        <v>46</v>
      </c>
      <c r="K13" t="s">
        <v>47</v>
      </c>
      <c r="M13" t="s">
        <v>48</v>
      </c>
      <c r="N13" t="s">
        <v>36</v>
      </c>
    </row>
    <row r="14" spans="1:15" hidden="1" x14ac:dyDescent="0.25">
      <c r="A14" t="s">
        <v>49</v>
      </c>
      <c r="B14" t="s">
        <v>50</v>
      </c>
      <c r="C14" t="s">
        <v>51</v>
      </c>
      <c r="D14" t="s">
        <v>52</v>
      </c>
      <c r="E14" t="s">
        <v>24</v>
      </c>
      <c r="F14" t="s">
        <v>18</v>
      </c>
      <c r="G14" t="s">
        <v>53</v>
      </c>
      <c r="H14">
        <v>-55</v>
      </c>
      <c r="I14" t="s">
        <v>54</v>
      </c>
      <c r="J14" t="s">
        <v>46</v>
      </c>
      <c r="K14" t="s">
        <v>47</v>
      </c>
      <c r="M14" t="s">
        <v>55</v>
      </c>
      <c r="N14" t="s">
        <v>56</v>
      </c>
    </row>
    <row r="15" spans="1:15" hidden="1" x14ac:dyDescent="0.25">
      <c r="A15" t="s">
        <v>57</v>
      </c>
      <c r="B15" t="s">
        <v>58</v>
      </c>
      <c r="C15" t="s">
        <v>59</v>
      </c>
      <c r="D15" t="s">
        <v>52</v>
      </c>
      <c r="E15" t="s">
        <v>60</v>
      </c>
      <c r="F15" t="s">
        <v>15</v>
      </c>
      <c r="G15" t="s">
        <v>61</v>
      </c>
      <c r="H15">
        <v>-42</v>
      </c>
      <c r="I15" t="s">
        <v>62</v>
      </c>
      <c r="J15" t="s">
        <v>46</v>
      </c>
      <c r="K15" t="s">
        <v>47</v>
      </c>
      <c r="N15" t="s">
        <v>23</v>
      </c>
    </row>
    <row r="16" spans="1:15" hidden="1" x14ac:dyDescent="0.25">
      <c r="A16" t="str">
        <f>"Marc-Antoine"</f>
        <v>Marc-Antoine</v>
      </c>
      <c r="B16" t="str">
        <f>"Dufresne"</f>
        <v>Dufresne</v>
      </c>
      <c r="C16" t="str">
        <f>"Saint-Hubert"</f>
        <v>Saint-Hubert</v>
      </c>
      <c r="D16" t="str">
        <f>"M"</f>
        <v>M</v>
      </c>
      <c r="E16" t="s">
        <v>24</v>
      </c>
      <c r="F16" t="s">
        <v>33</v>
      </c>
      <c r="G16" t="str">
        <f>"U16"</f>
        <v>U16</v>
      </c>
      <c r="H16" t="str">
        <f>"+73"</f>
        <v>+73</v>
      </c>
      <c r="I16" t="str">
        <f>"0226242"</f>
        <v>0226242</v>
      </c>
      <c r="J16" t="str">
        <f>"Yes"</f>
        <v>Yes</v>
      </c>
      <c r="K16" t="str">
        <f>"Quebec"</f>
        <v>Quebec</v>
      </c>
      <c r="M16" t="str">
        <f>""</f>
        <v/>
      </c>
      <c r="N16" t="s">
        <v>34</v>
      </c>
    </row>
    <row r="17" spans="1:14" x14ac:dyDescent="0.25">
      <c r="A17" t="str">
        <f>"William"</f>
        <v>William</v>
      </c>
      <c r="B17" t="str">
        <f>"Abraini"</f>
        <v>Abraini</v>
      </c>
      <c r="C17" t="str">
        <f>"Vieille Capitale"</f>
        <v>Vieille Capitale</v>
      </c>
      <c r="D17" t="str">
        <f>"M"</f>
        <v>M</v>
      </c>
      <c r="E17" t="s">
        <v>27</v>
      </c>
      <c r="F17" t="s">
        <v>18</v>
      </c>
      <c r="G17" t="str">
        <f>"U18"</f>
        <v>U18</v>
      </c>
      <c r="H17" t="str">
        <f>"-50"</f>
        <v>-50</v>
      </c>
      <c r="I17" t="str">
        <f>"0176333"</f>
        <v>0176333</v>
      </c>
      <c r="J17" t="str">
        <f>"Yes"</f>
        <v>Yes</v>
      </c>
      <c r="K17" t="str">
        <f>"Quebec"</f>
        <v>Quebec</v>
      </c>
      <c r="M17" t="str">
        <f>""</f>
        <v/>
      </c>
      <c r="N17" t="s">
        <v>63</v>
      </c>
    </row>
    <row r="18" spans="1:14" hidden="1" x14ac:dyDescent="0.25">
      <c r="A18" t="str">
        <f>"Jamal"</f>
        <v>Jamal</v>
      </c>
      <c r="B18" t="str">
        <f>"Kane"</f>
        <v>Kane</v>
      </c>
      <c r="C18" t="str">
        <f>"Olympique"</f>
        <v>Olympique</v>
      </c>
      <c r="D18" t="str">
        <f>"M"</f>
        <v>M</v>
      </c>
      <c r="E18" t="s">
        <v>32</v>
      </c>
      <c r="F18" t="s">
        <v>64</v>
      </c>
      <c r="G18" t="str">
        <f>"U16"</f>
        <v>U16</v>
      </c>
      <c r="H18" t="str">
        <f>"+73"</f>
        <v>+73</v>
      </c>
      <c r="I18" t="str">
        <f>"0226662"</f>
        <v>0226662</v>
      </c>
      <c r="J18" t="str">
        <f>"Yes"</f>
        <v>Yes</v>
      </c>
      <c r="K18" t="str">
        <f>"Quebec"</f>
        <v>Quebec</v>
      </c>
      <c r="N18" t="s">
        <v>34</v>
      </c>
    </row>
    <row r="19" spans="1:14" x14ac:dyDescent="0.25">
      <c r="A19" t="s">
        <v>65</v>
      </c>
      <c r="B19" t="s">
        <v>66</v>
      </c>
      <c r="C19" t="s">
        <v>67</v>
      </c>
      <c r="D19" t="s">
        <v>52</v>
      </c>
      <c r="E19" t="s">
        <v>24</v>
      </c>
      <c r="F19" t="s">
        <v>18</v>
      </c>
      <c r="G19" t="s">
        <v>25</v>
      </c>
      <c r="H19">
        <v>-50</v>
      </c>
      <c r="I19" t="s">
        <v>68</v>
      </c>
      <c r="J19" t="s">
        <v>46</v>
      </c>
      <c r="K19" t="s">
        <v>47</v>
      </c>
      <c r="M19" t="s">
        <v>48</v>
      </c>
      <c r="N19" t="s">
        <v>63</v>
      </c>
    </row>
    <row r="20" spans="1:14" x14ac:dyDescent="0.25">
      <c r="A20" t="str">
        <f>"Olivier"</f>
        <v>Olivier</v>
      </c>
      <c r="B20" t="str">
        <f>"Gagnon"</f>
        <v>Gagnon</v>
      </c>
      <c r="C20" t="str">
        <f>"Judokas Jonquière"</f>
        <v>Judokas Jonquière</v>
      </c>
      <c r="D20" t="str">
        <f>"M"</f>
        <v>M</v>
      </c>
      <c r="E20" t="s">
        <v>27</v>
      </c>
      <c r="F20" t="s">
        <v>18</v>
      </c>
      <c r="G20" t="str">
        <f>"U18"</f>
        <v>U18</v>
      </c>
      <c r="H20" t="str">
        <f>"-50"</f>
        <v>-50</v>
      </c>
      <c r="I20" t="str">
        <f>"0184262"</f>
        <v>0184262</v>
      </c>
      <c r="J20" t="str">
        <f>"Yes"</f>
        <v>Yes</v>
      </c>
      <c r="K20" t="str">
        <f>"Quebec"</f>
        <v>Quebec</v>
      </c>
      <c r="N20" t="s">
        <v>63</v>
      </c>
    </row>
    <row r="21" spans="1:14" hidden="1" x14ac:dyDescent="0.25">
      <c r="A21" t="s">
        <v>69</v>
      </c>
      <c r="B21" t="s">
        <v>70</v>
      </c>
      <c r="C21" t="s">
        <v>59</v>
      </c>
      <c r="D21" t="s">
        <v>52</v>
      </c>
      <c r="E21" t="s">
        <v>71</v>
      </c>
      <c r="F21" t="s">
        <v>18</v>
      </c>
      <c r="G21" t="s">
        <v>72</v>
      </c>
      <c r="H21">
        <v>-100</v>
      </c>
      <c r="I21" t="s">
        <v>73</v>
      </c>
      <c r="J21" t="s">
        <v>46</v>
      </c>
      <c r="K21" t="s">
        <v>47</v>
      </c>
      <c r="N21" t="s">
        <v>31</v>
      </c>
    </row>
    <row r="22" spans="1:14" x14ac:dyDescent="0.25">
      <c r="A22" t="s">
        <v>74</v>
      </c>
      <c r="B22" t="s">
        <v>75</v>
      </c>
      <c r="C22" t="s">
        <v>76</v>
      </c>
      <c r="D22" t="s">
        <v>52</v>
      </c>
      <c r="E22" t="s">
        <v>24</v>
      </c>
      <c r="F22" t="s">
        <v>18</v>
      </c>
      <c r="G22" t="s">
        <v>25</v>
      </c>
      <c r="H22">
        <v>-50</v>
      </c>
      <c r="I22" t="s">
        <v>77</v>
      </c>
      <c r="J22" t="s">
        <v>46</v>
      </c>
      <c r="K22" t="s">
        <v>47</v>
      </c>
      <c r="M22" t="s">
        <v>48</v>
      </c>
      <c r="N22" t="s">
        <v>63</v>
      </c>
    </row>
    <row r="23" spans="1:14" hidden="1" x14ac:dyDescent="0.25">
      <c r="A23" t="str">
        <f>"Henri"</f>
        <v>Henri</v>
      </c>
      <c r="B23" t="str">
        <f>"Saumure"</f>
        <v>Saumure</v>
      </c>
      <c r="C23" t="str">
        <f>"Boucherville"</f>
        <v>Boucherville</v>
      </c>
      <c r="D23" t="str">
        <f>"M"</f>
        <v>M</v>
      </c>
      <c r="E23" t="s">
        <v>38</v>
      </c>
      <c r="F23" t="s">
        <v>33</v>
      </c>
      <c r="G23" t="str">
        <f>"U14"</f>
        <v>U14</v>
      </c>
      <c r="H23" t="str">
        <f>"+66"</f>
        <v>+66</v>
      </c>
      <c r="I23" t="str">
        <f>"0181797"</f>
        <v>0181797</v>
      </c>
      <c r="J23" t="str">
        <f>"Yes"</f>
        <v>Yes</v>
      </c>
      <c r="K23" t="str">
        <f>"Quebec"</f>
        <v>Quebec</v>
      </c>
      <c r="M23" t="s">
        <v>78</v>
      </c>
      <c r="N23" t="s">
        <v>40</v>
      </c>
    </row>
    <row r="24" spans="1:14" hidden="1" x14ac:dyDescent="0.25">
      <c r="A24" t="str">
        <f>"Justin"</f>
        <v>Justin</v>
      </c>
      <c r="B24" t="str">
        <f>"Lefebvre"</f>
        <v>Lefebvre</v>
      </c>
      <c r="C24" t="str">
        <f>"Asbestos-Danville"</f>
        <v>Asbestos-Danville</v>
      </c>
      <c r="D24" t="str">
        <f>"M"</f>
        <v>M</v>
      </c>
      <c r="E24" t="s">
        <v>32</v>
      </c>
      <c r="F24" t="s">
        <v>33</v>
      </c>
      <c r="G24" t="str">
        <f>"U16"</f>
        <v>U16</v>
      </c>
      <c r="H24" t="str">
        <f>"+73"</f>
        <v>+73</v>
      </c>
      <c r="I24" t="str">
        <f>"0206504"</f>
        <v>0206504</v>
      </c>
      <c r="J24" t="str">
        <f>"Yes"</f>
        <v>Yes</v>
      </c>
      <c r="K24" t="str">
        <f>"Quebec"</f>
        <v>Quebec</v>
      </c>
      <c r="N24" t="s">
        <v>34</v>
      </c>
    </row>
    <row r="25" spans="1:14" hidden="1" x14ac:dyDescent="0.25">
      <c r="A25" t="str">
        <f>"Antoine"</f>
        <v>Antoine</v>
      </c>
      <c r="B25" t="str">
        <f>"Asselin-Gobeil"</f>
        <v>Asselin-Gobeil</v>
      </c>
      <c r="C25" t="str">
        <f>"Institut Judo Chicoutimi"</f>
        <v>Institut Judo Chicoutimi</v>
      </c>
      <c r="D25" t="str">
        <f>"M"</f>
        <v>M</v>
      </c>
      <c r="E25" t="s">
        <v>21</v>
      </c>
      <c r="F25" t="s">
        <v>37</v>
      </c>
      <c r="G25" t="str">
        <f>"U12"</f>
        <v>U12</v>
      </c>
      <c r="H25" t="str">
        <f>"-30"</f>
        <v>-30</v>
      </c>
      <c r="I25" t="str">
        <f>"0214402"</f>
        <v>0214402</v>
      </c>
      <c r="J25" t="str">
        <f>"Yes"</f>
        <v>Yes</v>
      </c>
      <c r="K25" t="str">
        <f>"Quebec"</f>
        <v>Quebec</v>
      </c>
      <c r="M25" t="str">
        <f>""</f>
        <v/>
      </c>
      <c r="N25" t="s">
        <v>23</v>
      </c>
    </row>
    <row r="26" spans="1:14" hidden="1" x14ac:dyDescent="0.25">
      <c r="A26" t="str">
        <f>"Yanis"</f>
        <v>Yanis</v>
      </c>
      <c r="B26" t="str">
        <f>"Louahla"</f>
        <v>Louahla</v>
      </c>
      <c r="C26" t="str">
        <f>"Métropolitain"</f>
        <v>Métropolitain</v>
      </c>
      <c r="D26" t="str">
        <f>"M"</f>
        <v>M</v>
      </c>
      <c r="E26" t="s">
        <v>32</v>
      </c>
      <c r="F26" t="s">
        <v>64</v>
      </c>
      <c r="G26" t="str">
        <f>"U16"</f>
        <v>U16</v>
      </c>
      <c r="H26" t="str">
        <f>"+73"</f>
        <v>+73</v>
      </c>
      <c r="I26" t="str">
        <f>"0221731"</f>
        <v>0221731</v>
      </c>
      <c r="J26" t="str">
        <f>"Yes"</f>
        <v>Yes</v>
      </c>
      <c r="K26" t="str">
        <f>"Quebec"</f>
        <v>Quebec</v>
      </c>
      <c r="M26" t="str">
        <f>""</f>
        <v/>
      </c>
      <c r="N26" t="s">
        <v>34</v>
      </c>
    </row>
    <row r="27" spans="1:14" hidden="1" x14ac:dyDescent="0.25">
      <c r="A27" t="str">
        <f>"Jordan"</f>
        <v>Jordan</v>
      </c>
      <c r="B27" t="str">
        <f>"Marcouiller"</f>
        <v>Marcouiller</v>
      </c>
      <c r="C27" t="str">
        <f>"Shawinigan"</f>
        <v>Shawinigan</v>
      </c>
      <c r="D27" t="str">
        <f>"M"</f>
        <v>M</v>
      </c>
      <c r="E27" t="s">
        <v>32</v>
      </c>
      <c r="F27" t="s">
        <v>64</v>
      </c>
      <c r="G27" t="str">
        <f>"U16"</f>
        <v>U16</v>
      </c>
      <c r="H27" t="str">
        <f>"+73"</f>
        <v>+73</v>
      </c>
      <c r="I27" t="str">
        <f>"0189450"</f>
        <v>0189450</v>
      </c>
      <c r="J27" t="str">
        <f>"Yes"</f>
        <v>Yes</v>
      </c>
      <c r="K27" t="str">
        <f>"Quebec"</f>
        <v>Quebec</v>
      </c>
      <c r="N27" t="s">
        <v>34</v>
      </c>
    </row>
    <row r="28" spans="1:14" hidden="1" x14ac:dyDescent="0.25">
      <c r="A28" t="s">
        <v>79</v>
      </c>
      <c r="B28" t="s">
        <v>80</v>
      </c>
      <c r="C28" t="s">
        <v>81</v>
      </c>
      <c r="D28" t="s">
        <v>52</v>
      </c>
      <c r="E28">
        <v>2002</v>
      </c>
      <c r="F28" t="s">
        <v>18</v>
      </c>
      <c r="G28" t="s">
        <v>53</v>
      </c>
      <c r="H28">
        <v>-73</v>
      </c>
      <c r="I28" t="s">
        <v>82</v>
      </c>
      <c r="J28" t="s">
        <v>46</v>
      </c>
      <c r="K28" t="s">
        <v>47</v>
      </c>
      <c r="N28" t="s">
        <v>83</v>
      </c>
    </row>
    <row r="29" spans="1:14" hidden="1" x14ac:dyDescent="0.25">
      <c r="A29" t="str">
        <f>"Maxime"</f>
        <v>Maxime</v>
      </c>
      <c r="B29" t="str">
        <f>"Ouimet"</f>
        <v>Ouimet</v>
      </c>
      <c r="C29" t="str">
        <f>"Shidokan"</f>
        <v>Shidokan</v>
      </c>
      <c r="D29" t="str">
        <f>"M"</f>
        <v>M</v>
      </c>
      <c r="E29" t="s">
        <v>84</v>
      </c>
      <c r="F29" t="s">
        <v>18</v>
      </c>
      <c r="G29" s="2" t="s">
        <v>85</v>
      </c>
      <c r="H29" t="str">
        <f>"+100"</f>
        <v>+100</v>
      </c>
      <c r="I29" t="str">
        <f>"0087097"</f>
        <v>0087097</v>
      </c>
      <c r="J29" t="str">
        <f>"Yes"</f>
        <v>Yes</v>
      </c>
      <c r="K29" t="str">
        <f>"Quebec"</f>
        <v>Quebec</v>
      </c>
      <c r="N29" t="s">
        <v>86</v>
      </c>
    </row>
    <row r="30" spans="1:14" hidden="1" x14ac:dyDescent="0.25">
      <c r="A30" t="str">
        <f>"Laurance"</f>
        <v>Laurance</v>
      </c>
      <c r="B30" t="str">
        <f>"Bélanger"</f>
        <v>Bélanger</v>
      </c>
      <c r="C30" t="str">
        <f>"Lévis"</f>
        <v>Lévis</v>
      </c>
      <c r="D30" t="str">
        <f>"F"</f>
        <v>F</v>
      </c>
      <c r="E30" t="s">
        <v>29</v>
      </c>
      <c r="F30" t="s">
        <v>15</v>
      </c>
      <c r="G30" t="str">
        <f>"U21/Senior Mudansha"</f>
        <v>U21/Senior Mudansha</v>
      </c>
      <c r="H30" t="str">
        <f>"-70"</f>
        <v>-70</v>
      </c>
      <c r="I30" t="str">
        <f>"0408321"</f>
        <v>0408321</v>
      </c>
      <c r="J30" t="str">
        <f>"Yes"</f>
        <v>Yes</v>
      </c>
      <c r="K30" t="str">
        <f>"Quebec"</f>
        <v>Quebec</v>
      </c>
      <c r="M30" t="s">
        <v>87</v>
      </c>
      <c r="N30" t="s">
        <v>88</v>
      </c>
    </row>
    <row r="31" spans="1:14" hidden="1" x14ac:dyDescent="0.25">
      <c r="A31" t="str">
        <f>"Justin"</f>
        <v>Justin</v>
      </c>
      <c r="B31" t="str">
        <f>"Bouchard"</f>
        <v>Bouchard</v>
      </c>
      <c r="C31" t="str">
        <f>"Haut-Richelieu"</f>
        <v>Haut-Richelieu</v>
      </c>
      <c r="D31" t="str">
        <f>"M"</f>
        <v>M</v>
      </c>
      <c r="E31" t="s">
        <v>14</v>
      </c>
      <c r="F31" t="s">
        <v>37</v>
      </c>
      <c r="G31" t="str">
        <f>"U14"</f>
        <v>U14</v>
      </c>
      <c r="H31" t="str">
        <f>"-31"</f>
        <v>-31</v>
      </c>
      <c r="I31" t="str">
        <f>"0216351"</f>
        <v>0216351</v>
      </c>
      <c r="J31" t="str">
        <f>"Yes"</f>
        <v>Yes</v>
      </c>
      <c r="K31" t="str">
        <f>"Quebec"</f>
        <v>Quebec</v>
      </c>
      <c r="N31" t="s">
        <v>89</v>
      </c>
    </row>
    <row r="32" spans="1:14" hidden="1" x14ac:dyDescent="0.25">
      <c r="A32" t="str">
        <f>"Matis"</f>
        <v>Matis</v>
      </c>
      <c r="B32" t="str">
        <f>"Baribeau"</f>
        <v>Baribeau</v>
      </c>
      <c r="C32" t="str">
        <f>"Blainville"</f>
        <v>Blainville</v>
      </c>
      <c r="D32" t="str">
        <f>"M"</f>
        <v>M</v>
      </c>
      <c r="E32" t="s">
        <v>60</v>
      </c>
      <c r="F32" t="s">
        <v>90</v>
      </c>
      <c r="G32" t="str">
        <f>"U12"</f>
        <v>U12</v>
      </c>
      <c r="H32" t="str">
        <f>"-30"</f>
        <v>-30</v>
      </c>
      <c r="I32" t="str">
        <f>"0206637"</f>
        <v>0206637</v>
      </c>
      <c r="J32" t="str">
        <f>"Yes"</f>
        <v>Yes</v>
      </c>
      <c r="K32" t="str">
        <f>"Quebec"</f>
        <v>Quebec</v>
      </c>
      <c r="N32" t="s">
        <v>23</v>
      </c>
    </row>
    <row r="33" spans="1:14" hidden="1" x14ac:dyDescent="0.25">
      <c r="A33" t="str">
        <f>"Abigail"</f>
        <v>Abigail</v>
      </c>
      <c r="B33" t="str">
        <f>"Baril"</f>
        <v>Baril</v>
      </c>
      <c r="C33" t="str">
        <f>"Ghishintaido inc."</f>
        <v>Ghishintaido inc.</v>
      </c>
      <c r="D33" t="str">
        <f>"F"</f>
        <v>F</v>
      </c>
      <c r="E33" t="s">
        <v>21</v>
      </c>
      <c r="F33" t="s">
        <v>22</v>
      </c>
      <c r="G33" t="str">
        <f>"U12"</f>
        <v>U12</v>
      </c>
      <c r="H33" t="str">
        <f>"-33"</f>
        <v>-33</v>
      </c>
      <c r="I33" t="str">
        <f>"0230197"</f>
        <v>0230197</v>
      </c>
      <c r="J33" t="str">
        <f>"Yes"</f>
        <v>Yes</v>
      </c>
      <c r="K33" t="str">
        <f>"Quebec"</f>
        <v>Quebec</v>
      </c>
      <c r="N33" t="s">
        <v>91</v>
      </c>
    </row>
    <row r="34" spans="1:14" hidden="1" x14ac:dyDescent="0.25">
      <c r="A34" t="str">
        <f>"John Jr"</f>
        <v>John Jr</v>
      </c>
      <c r="B34" t="str">
        <f>"Messé A Bessong"</f>
        <v>Messé A Bessong</v>
      </c>
      <c r="C34" t="s">
        <v>92</v>
      </c>
      <c r="D34" t="str">
        <f>"M"</f>
        <v>M</v>
      </c>
      <c r="E34" t="s">
        <v>32</v>
      </c>
      <c r="F34" t="s">
        <v>39</v>
      </c>
      <c r="G34" t="str">
        <f>"U16"</f>
        <v>U16</v>
      </c>
      <c r="H34" t="str">
        <f>"+73"</f>
        <v>+73</v>
      </c>
      <c r="I34" t="str">
        <f>"0168706"</f>
        <v>0168706</v>
      </c>
      <c r="J34" t="str">
        <f>"Yes"</f>
        <v>Yes</v>
      </c>
      <c r="K34" t="str">
        <f>"Quebec"</f>
        <v>Quebec</v>
      </c>
      <c r="N34" t="s">
        <v>34</v>
      </c>
    </row>
    <row r="35" spans="1:14" hidden="1" x14ac:dyDescent="0.25">
      <c r="A35" t="str">
        <f>"Noam"</f>
        <v>Noam</v>
      </c>
      <c r="B35" t="str">
        <f>"Barriault-Tremblay"</f>
        <v>Barriault-Tremblay</v>
      </c>
      <c r="C35" t="str">
        <f>"Judokas Jonquière"</f>
        <v>Judokas Jonquière</v>
      </c>
      <c r="D35" t="str">
        <f>"M"</f>
        <v>M</v>
      </c>
      <c r="E35" t="s">
        <v>21</v>
      </c>
      <c r="F35" t="s">
        <v>64</v>
      </c>
      <c r="G35" t="str">
        <f>"U12"</f>
        <v>U12</v>
      </c>
      <c r="H35" t="str">
        <f>"-36"</f>
        <v>-36</v>
      </c>
      <c r="I35" t="str">
        <f>"0207205"</f>
        <v>0207205</v>
      </c>
      <c r="J35" t="str">
        <f>"Yes"</f>
        <v>Yes</v>
      </c>
      <c r="K35" t="str">
        <f>"Quebec"</f>
        <v>Quebec</v>
      </c>
      <c r="N35" t="s">
        <v>23</v>
      </c>
    </row>
    <row r="36" spans="1:14" hidden="1" x14ac:dyDescent="0.25">
      <c r="A36" t="s">
        <v>93</v>
      </c>
      <c r="B36" t="s">
        <v>94</v>
      </c>
      <c r="C36" t="s">
        <v>59</v>
      </c>
      <c r="D36" t="s">
        <v>52</v>
      </c>
      <c r="E36" t="s">
        <v>14</v>
      </c>
      <c r="F36" t="s">
        <v>15</v>
      </c>
      <c r="G36" t="s">
        <v>95</v>
      </c>
      <c r="H36" t="str">
        <f>"-31"</f>
        <v>-31</v>
      </c>
      <c r="I36" t="s">
        <v>96</v>
      </c>
      <c r="J36" t="s">
        <v>46</v>
      </c>
      <c r="K36" t="s">
        <v>47</v>
      </c>
      <c r="N36" t="s">
        <v>89</v>
      </c>
    </row>
    <row r="37" spans="1:14" hidden="1" x14ac:dyDescent="0.25">
      <c r="A37" t="str">
        <f>"Pascal"</f>
        <v>Pascal</v>
      </c>
      <c r="B37" t="str">
        <f>"Neron"</f>
        <v>Neron</v>
      </c>
      <c r="C37" t="str">
        <f>"St-Jean Bosco"</f>
        <v>St-Jean Bosco</v>
      </c>
      <c r="D37" t="str">
        <f>"M"</f>
        <v>M</v>
      </c>
      <c r="E37" t="s">
        <v>24</v>
      </c>
      <c r="F37" t="s">
        <v>18</v>
      </c>
      <c r="G37" t="str">
        <f>"U16"</f>
        <v>U16</v>
      </c>
      <c r="H37" t="str">
        <f>"+73"</f>
        <v>+73</v>
      </c>
      <c r="I37" t="str">
        <f>"0214323"</f>
        <v>0214323</v>
      </c>
      <c r="J37" t="str">
        <f>"Yes"</f>
        <v>Yes</v>
      </c>
      <c r="K37" t="str">
        <f>"Quebec"</f>
        <v>Quebec</v>
      </c>
      <c r="M37" t="str">
        <f>""</f>
        <v/>
      </c>
      <c r="N37" t="s">
        <v>34</v>
      </c>
    </row>
    <row r="38" spans="1:14" x14ac:dyDescent="0.25">
      <c r="A38" t="s">
        <v>97</v>
      </c>
      <c r="B38" t="s">
        <v>98</v>
      </c>
      <c r="C38" t="s">
        <v>99</v>
      </c>
      <c r="D38" t="s">
        <v>52</v>
      </c>
      <c r="E38" t="s">
        <v>24</v>
      </c>
      <c r="F38" t="s">
        <v>18</v>
      </c>
      <c r="G38" t="s">
        <v>25</v>
      </c>
      <c r="H38">
        <v>-55</v>
      </c>
      <c r="I38" t="s">
        <v>100</v>
      </c>
      <c r="J38" t="s">
        <v>46</v>
      </c>
      <c r="K38" t="s">
        <v>47</v>
      </c>
      <c r="M38" t="s">
        <v>48</v>
      </c>
      <c r="N38" t="s">
        <v>101</v>
      </c>
    </row>
    <row r="39" spans="1:14" hidden="1" x14ac:dyDescent="0.25">
      <c r="A39" t="str">
        <f>"Malie"</f>
        <v>Malie</v>
      </c>
      <c r="B39" t="str">
        <f>"Charbonneau"</f>
        <v>Charbonneau</v>
      </c>
      <c r="C39" t="str">
        <f>"Haut-Richelieu"</f>
        <v>Haut-Richelieu</v>
      </c>
      <c r="D39" t="str">
        <f>"F"</f>
        <v>F</v>
      </c>
      <c r="E39" t="s">
        <v>14</v>
      </c>
      <c r="F39" t="s">
        <v>64</v>
      </c>
      <c r="G39" t="str">
        <f>"U14"</f>
        <v>U14</v>
      </c>
      <c r="H39" s="2" t="str">
        <f>"-32"</f>
        <v>-32</v>
      </c>
      <c r="I39" t="str">
        <f>"0188691"</f>
        <v>0188691</v>
      </c>
      <c r="J39" t="str">
        <f>"Yes"</f>
        <v>Yes</v>
      </c>
      <c r="K39" t="str">
        <f>"Quebec"</f>
        <v>Quebec</v>
      </c>
      <c r="M39" t="s">
        <v>102</v>
      </c>
      <c r="N39" t="s">
        <v>103</v>
      </c>
    </row>
    <row r="40" spans="1:14" hidden="1" x14ac:dyDescent="0.25">
      <c r="A40" t="str">
        <f>"Benjamin"</f>
        <v>Benjamin</v>
      </c>
      <c r="B40" t="str">
        <f>"Charretton-Delagrave"</f>
        <v>Charretton-Delagrave</v>
      </c>
      <c r="C40" t="str">
        <f>"Kiseki Judo"</f>
        <v>Kiseki Judo</v>
      </c>
      <c r="D40" t="str">
        <f>"M"</f>
        <v>M</v>
      </c>
      <c r="E40" t="s">
        <v>14</v>
      </c>
      <c r="F40" t="s">
        <v>90</v>
      </c>
      <c r="G40" t="str">
        <f>"U14"</f>
        <v>U14</v>
      </c>
      <c r="H40" t="str">
        <f>"-66"</f>
        <v>-66</v>
      </c>
      <c r="I40" t="str">
        <f>"0189918"</f>
        <v>0189918</v>
      </c>
      <c r="J40" t="str">
        <f>"Yes"</f>
        <v>Yes</v>
      </c>
      <c r="K40" t="str">
        <f>"Quebec"</f>
        <v>Quebec</v>
      </c>
      <c r="M40" t="s">
        <v>104</v>
      </c>
      <c r="N40" t="s">
        <v>105</v>
      </c>
    </row>
    <row r="41" spans="1:14" hidden="1" x14ac:dyDescent="0.25">
      <c r="A41" t="str">
        <f>"Daniel"</f>
        <v>Daniel</v>
      </c>
      <c r="B41" t="str">
        <f>"Curry"</f>
        <v>Curry</v>
      </c>
      <c r="C41" t="str">
        <f>"CMR Saint-Jean"</f>
        <v>CMR Saint-Jean</v>
      </c>
      <c r="D41" t="str">
        <f>"M"</f>
        <v>M</v>
      </c>
      <c r="E41" t="s">
        <v>29</v>
      </c>
      <c r="F41" t="s">
        <v>39</v>
      </c>
      <c r="G41" t="str">
        <f>"U21/Senior Mudansha"</f>
        <v>U21/Senior Mudansha</v>
      </c>
      <c r="H41" s="2" t="str">
        <f>"-73"</f>
        <v>-73</v>
      </c>
      <c r="I41" t="str">
        <f>"0192064"</f>
        <v>0192064</v>
      </c>
      <c r="J41" t="str">
        <f>"Yes"</f>
        <v>Yes</v>
      </c>
      <c r="K41" t="str">
        <f>"Quebec"</f>
        <v>Quebec</v>
      </c>
      <c r="M41" t="s">
        <v>19</v>
      </c>
      <c r="N41" s="2" t="s">
        <v>106</v>
      </c>
    </row>
    <row r="42" spans="1:14" hidden="1" x14ac:dyDescent="0.25">
      <c r="A42" t="str">
        <f>"Loic"</f>
        <v>Loic</v>
      </c>
      <c r="B42" t="str">
        <f>"Beaudoin"</f>
        <v>Beaudoin</v>
      </c>
      <c r="C42" t="str">
        <f>"Seiko"</f>
        <v>Seiko</v>
      </c>
      <c r="D42" t="str">
        <f>"M"</f>
        <v>M</v>
      </c>
      <c r="E42" t="s">
        <v>60</v>
      </c>
      <c r="F42" t="s">
        <v>15</v>
      </c>
      <c r="G42" t="str">
        <f>"U12"</f>
        <v>U12</v>
      </c>
      <c r="H42" t="str">
        <f>"-30"</f>
        <v>-30</v>
      </c>
      <c r="I42" t="str">
        <f>"0200037"</f>
        <v>0200037</v>
      </c>
      <c r="J42" t="str">
        <f>"Yes"</f>
        <v>Yes</v>
      </c>
      <c r="K42" t="str">
        <f>"Quebec"</f>
        <v>Quebec</v>
      </c>
      <c r="N42" t="s">
        <v>23</v>
      </c>
    </row>
    <row r="43" spans="1:14" hidden="1" x14ac:dyDescent="0.25">
      <c r="A43" t="str">
        <f>"William"</f>
        <v>William</v>
      </c>
      <c r="B43" t="str">
        <f>"Power"</f>
        <v>Power</v>
      </c>
      <c r="C43" t="str">
        <f>"Fermont"</f>
        <v>Fermont</v>
      </c>
      <c r="D43" t="str">
        <f>"M"</f>
        <v>M</v>
      </c>
      <c r="E43" t="s">
        <v>32</v>
      </c>
      <c r="F43" t="s">
        <v>107</v>
      </c>
      <c r="G43" t="str">
        <f>"U16"</f>
        <v>U16</v>
      </c>
      <c r="H43" t="str">
        <f>"+73"</f>
        <v>+73</v>
      </c>
      <c r="I43" t="str">
        <f>"0202397"</f>
        <v>0202397</v>
      </c>
      <c r="J43" t="str">
        <f>"Yes"</f>
        <v>Yes</v>
      </c>
      <c r="K43" t="str">
        <f>"Quebec"</f>
        <v>Quebec</v>
      </c>
      <c r="N43" t="s">
        <v>34</v>
      </c>
    </row>
    <row r="44" spans="1:14" hidden="1" x14ac:dyDescent="0.25">
      <c r="A44" t="str">
        <f>"Alexandre"</f>
        <v>Alexandre</v>
      </c>
      <c r="B44" t="str">
        <f>"Trial"</f>
        <v>Trial</v>
      </c>
      <c r="C44" t="str">
        <f>"St-Jean Bosco"</f>
        <v>St-Jean Bosco</v>
      </c>
      <c r="D44" t="str">
        <f>"M"</f>
        <v>M</v>
      </c>
      <c r="E44" t="s">
        <v>24</v>
      </c>
      <c r="F44" t="s">
        <v>39</v>
      </c>
      <c r="G44" t="str">
        <f>"U16"</f>
        <v>U16</v>
      </c>
      <c r="H44" t="str">
        <f>"+73"</f>
        <v>+73</v>
      </c>
      <c r="I44" t="str">
        <f>"0203154"</f>
        <v>0203154</v>
      </c>
      <c r="J44" t="str">
        <f>"Yes"</f>
        <v>Yes</v>
      </c>
      <c r="K44" t="str">
        <f>"Quebec"</f>
        <v>Quebec</v>
      </c>
      <c r="N44" t="s">
        <v>34</v>
      </c>
    </row>
    <row r="45" spans="1:14" x14ac:dyDescent="0.25">
      <c r="A45" t="str">
        <f>"Jasmin"</f>
        <v>Jasmin</v>
      </c>
      <c r="B45" t="str">
        <f>"Bélanger"</f>
        <v>Bélanger</v>
      </c>
      <c r="C45" t="str">
        <f>"Seïkidokan"</f>
        <v>Seïkidokan</v>
      </c>
      <c r="D45" t="str">
        <f>"M"</f>
        <v>M</v>
      </c>
      <c r="E45" t="s">
        <v>17</v>
      </c>
      <c r="F45" t="s">
        <v>18</v>
      </c>
      <c r="G45" t="s">
        <v>25</v>
      </c>
      <c r="H45" t="str">
        <f>"-55"</f>
        <v>-55</v>
      </c>
      <c r="I45" t="str">
        <f>"0181056"</f>
        <v>0181056</v>
      </c>
      <c r="J45" t="str">
        <f>"Yes"</f>
        <v>Yes</v>
      </c>
      <c r="K45" t="str">
        <f>"Quebec"</f>
        <v>Quebec</v>
      </c>
      <c r="M45" t="str">
        <f>"2 divisions : U18 + U21/Sénior B"</f>
        <v>2 divisions : U18 + U21/Sénior B</v>
      </c>
      <c r="N45" t="s">
        <v>101</v>
      </c>
    </row>
    <row r="46" spans="1:14" hidden="1" x14ac:dyDescent="0.25">
      <c r="A46" t="str">
        <f>"Vincent"</f>
        <v>Vincent</v>
      </c>
      <c r="B46" t="str">
        <f>"Beaulieu"</f>
        <v>Beaulieu</v>
      </c>
      <c r="C46" t="str">
        <f>"Judo-Tech"</f>
        <v>Judo-Tech</v>
      </c>
      <c r="D46" t="str">
        <f>"M"</f>
        <v>M</v>
      </c>
      <c r="E46" t="s">
        <v>21</v>
      </c>
      <c r="F46" t="s">
        <v>37</v>
      </c>
      <c r="G46" t="str">
        <f>"U12"</f>
        <v>U12</v>
      </c>
      <c r="H46" t="str">
        <f>"-42"</f>
        <v>-42</v>
      </c>
      <c r="I46" t="str">
        <f>"0213290"</f>
        <v>0213290</v>
      </c>
      <c r="J46" t="str">
        <f>"Yes"</f>
        <v>Yes</v>
      </c>
      <c r="K46" t="str">
        <f>"Quebec"</f>
        <v>Quebec</v>
      </c>
      <c r="N46" t="s">
        <v>23</v>
      </c>
    </row>
    <row r="47" spans="1:14" hidden="1" x14ac:dyDescent="0.25">
      <c r="A47" t="str">
        <f>"Edouard"</f>
        <v>Edouard</v>
      </c>
      <c r="B47" t="str">
        <f>"Beaupre"</f>
        <v>Beaupre</v>
      </c>
      <c r="C47" t="str">
        <f>"Judokas Jonquière"</f>
        <v>Judokas Jonquière</v>
      </c>
      <c r="D47" t="str">
        <f>"M"</f>
        <v>M</v>
      </c>
      <c r="E47" t="s">
        <v>21</v>
      </c>
      <c r="F47" t="s">
        <v>64</v>
      </c>
      <c r="G47" t="str">
        <f>"U12"</f>
        <v>U12</v>
      </c>
      <c r="H47" t="str">
        <f>"-39"</f>
        <v>-39</v>
      </c>
      <c r="I47" t="str">
        <f>"0217165"</f>
        <v>0217165</v>
      </c>
      <c r="J47" t="str">
        <f>"Yes"</f>
        <v>Yes</v>
      </c>
      <c r="K47" t="str">
        <f>"Quebec"</f>
        <v>Quebec</v>
      </c>
      <c r="N47" t="s">
        <v>23</v>
      </c>
    </row>
    <row r="48" spans="1:14" hidden="1" x14ac:dyDescent="0.25">
      <c r="A48" t="str">
        <f>"Noah"</f>
        <v>Noah</v>
      </c>
      <c r="B48" t="str">
        <f>"Beauregard"</f>
        <v>Beauregard</v>
      </c>
      <c r="C48" t="s">
        <v>108</v>
      </c>
      <c r="D48" t="str">
        <f>"M"</f>
        <v>M</v>
      </c>
      <c r="E48" t="s">
        <v>21</v>
      </c>
      <c r="F48" t="s">
        <v>37</v>
      </c>
      <c r="G48" t="str">
        <f>"U12"</f>
        <v>U12</v>
      </c>
      <c r="H48" t="str">
        <f>"-33"</f>
        <v>-33</v>
      </c>
      <c r="I48" t="str">
        <f>"0214494"</f>
        <v>0214494</v>
      </c>
      <c r="J48" t="str">
        <f>"Yes"</f>
        <v>Yes</v>
      </c>
      <c r="K48" t="str">
        <f>"Quebec"</f>
        <v>Quebec</v>
      </c>
      <c r="N48" t="s">
        <v>23</v>
      </c>
    </row>
    <row r="49" spans="1:14" hidden="1" x14ac:dyDescent="0.25">
      <c r="A49" t="str">
        <f>"Johnson"</f>
        <v>Johnson</v>
      </c>
      <c r="B49" t="str">
        <f>"Vincent"</f>
        <v>Vincent</v>
      </c>
      <c r="C49" t="str">
        <f>"Kiseki Judo"</f>
        <v>Kiseki Judo</v>
      </c>
      <c r="D49" t="str">
        <f>"M"</f>
        <v>M</v>
      </c>
      <c r="E49" t="s">
        <v>24</v>
      </c>
      <c r="F49" t="s">
        <v>39</v>
      </c>
      <c r="G49" t="str">
        <f>"U16"</f>
        <v>U16</v>
      </c>
      <c r="H49" t="str">
        <f>"+73"</f>
        <v>+73</v>
      </c>
      <c r="I49" t="str">
        <f>"0179399"</f>
        <v>0179399</v>
      </c>
      <c r="J49" t="str">
        <f>"Yes"</f>
        <v>Yes</v>
      </c>
      <c r="K49" t="str">
        <f>"Quebec"</f>
        <v>Quebec</v>
      </c>
      <c r="M49" t="str">
        <f>""</f>
        <v/>
      </c>
      <c r="N49" t="s">
        <v>34</v>
      </c>
    </row>
    <row r="50" spans="1:14" hidden="1" x14ac:dyDescent="0.25">
      <c r="A50" t="str">
        <f>"Marie Celeste"</f>
        <v>Marie Celeste</v>
      </c>
      <c r="B50" t="str">
        <f>"Dalpra"</f>
        <v>Dalpra</v>
      </c>
      <c r="C50" t="str">
        <f>"CMR Saint-Jean"</f>
        <v>CMR Saint-Jean</v>
      </c>
      <c r="D50" t="str">
        <f>"F"</f>
        <v>F</v>
      </c>
      <c r="E50" t="s">
        <v>109</v>
      </c>
      <c r="F50" t="s">
        <v>37</v>
      </c>
      <c r="G50" t="str">
        <f>"U21/Senior Mudansha"</f>
        <v>U21/Senior Mudansha</v>
      </c>
      <c r="H50" s="2" t="str">
        <f>"-78"</f>
        <v>-78</v>
      </c>
      <c r="I50" t="str">
        <f>"0409438"</f>
        <v>0409438</v>
      </c>
      <c r="J50" t="str">
        <f>"Yes"</f>
        <v>Yes</v>
      </c>
      <c r="K50" t="str">
        <f>"Quebec"</f>
        <v>Quebec</v>
      </c>
      <c r="M50" t="s">
        <v>110</v>
      </c>
      <c r="N50" s="2" t="s">
        <v>111</v>
      </c>
    </row>
    <row r="51" spans="1:14" hidden="1" x14ac:dyDescent="0.25">
      <c r="A51" t="str">
        <f>"Vincent"</f>
        <v>Vincent</v>
      </c>
      <c r="B51" t="str">
        <f>"Baril"</f>
        <v>Baril</v>
      </c>
      <c r="C51" t="str">
        <f>"Ghishintaido inc."</f>
        <v>Ghishintaido inc.</v>
      </c>
      <c r="D51" t="str">
        <f>"M"</f>
        <v>M</v>
      </c>
      <c r="E51" t="s">
        <v>32</v>
      </c>
      <c r="F51" t="s">
        <v>64</v>
      </c>
      <c r="G51" t="str">
        <f>"U16"</f>
        <v>U16</v>
      </c>
      <c r="H51" t="str">
        <f>"-38"</f>
        <v>-38</v>
      </c>
      <c r="I51" t="str">
        <f>"0224285"</f>
        <v>0224285</v>
      </c>
      <c r="J51" t="str">
        <f>"Yes"</f>
        <v>Yes</v>
      </c>
      <c r="K51" t="str">
        <f>"Quebec"</f>
        <v>Quebec</v>
      </c>
      <c r="N51" t="s">
        <v>112</v>
      </c>
    </row>
    <row r="52" spans="1:14" hidden="1" x14ac:dyDescent="0.25">
      <c r="A52" t="s">
        <v>113</v>
      </c>
      <c r="B52" t="s">
        <v>114</v>
      </c>
      <c r="C52" t="s">
        <v>59</v>
      </c>
      <c r="D52" t="s">
        <v>52</v>
      </c>
      <c r="E52" t="s">
        <v>21</v>
      </c>
      <c r="F52" t="s">
        <v>15</v>
      </c>
      <c r="G52" t="s">
        <v>61</v>
      </c>
      <c r="H52">
        <v>-45</v>
      </c>
      <c r="I52" t="s">
        <v>115</v>
      </c>
      <c r="J52" t="s">
        <v>46</v>
      </c>
      <c r="K52" t="s">
        <v>47</v>
      </c>
      <c r="N52" t="s">
        <v>23</v>
      </c>
    </row>
    <row r="53" spans="1:14" hidden="1" x14ac:dyDescent="0.25">
      <c r="A53" t="str">
        <f>"Amy"</f>
        <v>Amy</v>
      </c>
      <c r="B53" t="str">
        <f>"Daraiche"</f>
        <v>Daraiche</v>
      </c>
      <c r="C53" t="str">
        <f>"Torakai"</f>
        <v>Torakai</v>
      </c>
      <c r="D53" t="str">
        <f>"F"</f>
        <v>F</v>
      </c>
      <c r="E53" t="s">
        <v>38</v>
      </c>
      <c r="F53" t="s">
        <v>22</v>
      </c>
      <c r="G53" t="str">
        <f>"U14"</f>
        <v>U14</v>
      </c>
      <c r="H53" t="str">
        <f>"+63"</f>
        <v>+63</v>
      </c>
      <c r="I53" t="str">
        <f>"0201090"</f>
        <v>0201090</v>
      </c>
      <c r="J53" t="str">
        <f>"Yes"</f>
        <v>Yes</v>
      </c>
      <c r="K53" t="str">
        <f>"Quebec"</f>
        <v>Quebec</v>
      </c>
      <c r="M53" t="s">
        <v>116</v>
      </c>
      <c r="N53" t="s">
        <v>117</v>
      </c>
    </row>
    <row r="54" spans="1:14" x14ac:dyDescent="0.25">
      <c r="A54" t="str">
        <f>"Félix-Olivier"</f>
        <v>Félix-Olivier</v>
      </c>
      <c r="B54" t="str">
        <f>"Bertrand"</f>
        <v>Bertrand</v>
      </c>
      <c r="C54" t="str">
        <f>"St-Jean Bosco"</f>
        <v>St-Jean Bosco</v>
      </c>
      <c r="D54" t="str">
        <f>"M"</f>
        <v>M</v>
      </c>
      <c r="E54" t="s">
        <v>27</v>
      </c>
      <c r="F54" t="s">
        <v>18</v>
      </c>
      <c r="G54" t="s">
        <v>25</v>
      </c>
      <c r="H54" t="str">
        <f>"-55"</f>
        <v>-55</v>
      </c>
      <c r="I54" t="str">
        <f>"0176269"</f>
        <v>0176269</v>
      </c>
      <c r="J54" t="str">
        <f>"Yes"</f>
        <v>Yes</v>
      </c>
      <c r="K54" t="str">
        <f>"Quebec"</f>
        <v>Quebec</v>
      </c>
      <c r="M54" t="str">
        <f>"2 divisions : U18 + U21/Sénior B"</f>
        <v>2 divisions : U18 + U21/Sénior B</v>
      </c>
      <c r="N54" t="s">
        <v>101</v>
      </c>
    </row>
    <row r="55" spans="1:14" hidden="1" x14ac:dyDescent="0.25">
      <c r="A55" t="s">
        <v>118</v>
      </c>
      <c r="B55" t="s">
        <v>114</v>
      </c>
      <c r="C55" t="s">
        <v>119</v>
      </c>
      <c r="D55" t="s">
        <v>52</v>
      </c>
      <c r="E55" t="s">
        <v>17</v>
      </c>
      <c r="F55" t="s">
        <v>18</v>
      </c>
      <c r="G55" t="s">
        <v>72</v>
      </c>
      <c r="H55">
        <v>-55</v>
      </c>
      <c r="I55" t="s">
        <v>120</v>
      </c>
      <c r="J55" t="s">
        <v>46</v>
      </c>
      <c r="K55" t="s">
        <v>47</v>
      </c>
      <c r="M55" t="s">
        <v>35</v>
      </c>
      <c r="N55" t="s">
        <v>121</v>
      </c>
    </row>
    <row r="56" spans="1:14" x14ac:dyDescent="0.25">
      <c r="A56" t="str">
        <f>"Nesar"</f>
        <v>Nesar</v>
      </c>
      <c r="B56" t="str">
        <f>"El Hama"</f>
        <v>El Hama</v>
      </c>
      <c r="C56" t="str">
        <f>"Budokan Saint-Laurent"</f>
        <v>Budokan Saint-Laurent</v>
      </c>
      <c r="D56" t="str">
        <f>"M"</f>
        <v>M</v>
      </c>
      <c r="E56" t="s">
        <v>27</v>
      </c>
      <c r="F56" t="s">
        <v>37</v>
      </c>
      <c r="G56" t="str">
        <f>"U18"</f>
        <v>U18</v>
      </c>
      <c r="H56" t="str">
        <f>"-66"</f>
        <v>-66</v>
      </c>
      <c r="I56" t="str">
        <f>"0188074"</f>
        <v>0188074</v>
      </c>
      <c r="J56" t="str">
        <f>"Yes"</f>
        <v>Yes</v>
      </c>
      <c r="K56" t="str">
        <f>"Quebec"</f>
        <v>Quebec</v>
      </c>
      <c r="M56" t="s">
        <v>19</v>
      </c>
      <c r="N56" t="s">
        <v>122</v>
      </c>
    </row>
    <row r="57" spans="1:14" hidden="1" x14ac:dyDescent="0.25">
      <c r="A57" t="str">
        <f>"Kathie"</f>
        <v>Kathie</v>
      </c>
      <c r="B57" t="str">
        <f>"Bourque"</f>
        <v>Bourque</v>
      </c>
      <c r="C57" t="str">
        <f>"Ghishintaido inc."</f>
        <v>Ghishintaido inc.</v>
      </c>
      <c r="D57" t="str">
        <f>"F"</f>
        <v>F</v>
      </c>
      <c r="E57" t="s">
        <v>32</v>
      </c>
      <c r="F57" t="s">
        <v>64</v>
      </c>
      <c r="G57" t="str">
        <f>"U16"</f>
        <v>U16</v>
      </c>
      <c r="H57" t="str">
        <f>"+70"</f>
        <v>+70</v>
      </c>
      <c r="I57" t="str">
        <f>"0224303"</f>
        <v>0224303</v>
      </c>
      <c r="J57" t="str">
        <f>"Yes"</f>
        <v>Yes</v>
      </c>
      <c r="K57" t="str">
        <f>"Quebec"</f>
        <v>Quebec</v>
      </c>
      <c r="N57" t="s">
        <v>123</v>
      </c>
    </row>
    <row r="58" spans="1:14" x14ac:dyDescent="0.25">
      <c r="A58" t="str">
        <f>"Gaël"</f>
        <v>Gaël</v>
      </c>
      <c r="B58" t="str">
        <f>"Blouin-Gamache"</f>
        <v>Blouin-Gamache</v>
      </c>
      <c r="C58" t="str">
        <f>"CJVR"</f>
        <v>CJVR</v>
      </c>
      <c r="D58" t="str">
        <f>"M"</f>
        <v>M</v>
      </c>
      <c r="E58" t="s">
        <v>27</v>
      </c>
      <c r="F58" t="s">
        <v>18</v>
      </c>
      <c r="G58" t="str">
        <f>"U18"</f>
        <v>U18</v>
      </c>
      <c r="H58" t="str">
        <f>"-55"</f>
        <v>-55</v>
      </c>
      <c r="I58" t="str">
        <f>"0160753"</f>
        <v>0160753</v>
      </c>
      <c r="J58" t="str">
        <f>"Yes"</f>
        <v>Yes</v>
      </c>
      <c r="K58" t="str">
        <f>"Quebec"</f>
        <v>Quebec</v>
      </c>
      <c r="N58" t="s">
        <v>101</v>
      </c>
    </row>
    <row r="59" spans="1:14" hidden="1" x14ac:dyDescent="0.25">
      <c r="A59" t="str">
        <f>"Benoit"</f>
        <v>Benoit</v>
      </c>
      <c r="B59" t="str">
        <f>"Jobin"</f>
        <v>Jobin</v>
      </c>
      <c r="C59" t="s">
        <v>124</v>
      </c>
      <c r="D59" t="str">
        <f>"M"</f>
        <v>M</v>
      </c>
      <c r="E59" t="s">
        <v>125</v>
      </c>
      <c r="F59" t="s">
        <v>30</v>
      </c>
      <c r="G59" t="str">
        <f>"Master"</f>
        <v>Master</v>
      </c>
      <c r="H59" t="str">
        <f>"-81"</f>
        <v>-81</v>
      </c>
      <c r="I59" t="str">
        <f>"0083240"</f>
        <v>0083240</v>
      </c>
      <c r="J59" t="str">
        <f>"Yes"</f>
        <v>Yes</v>
      </c>
      <c r="K59" t="str">
        <f>"Quebec"</f>
        <v>Quebec</v>
      </c>
      <c r="N59" t="s">
        <v>126</v>
      </c>
    </row>
    <row r="60" spans="1:14" hidden="1" x14ac:dyDescent="0.25">
      <c r="A60" t="str">
        <f>"Olivier"</f>
        <v>Olivier</v>
      </c>
      <c r="B60" t="str">
        <f>"Bergeron"</f>
        <v>Bergeron</v>
      </c>
      <c r="C60" t="str">
        <f>"Judokas Jonquière"</f>
        <v>Judokas Jonquière</v>
      </c>
      <c r="D60" t="str">
        <f>"M"</f>
        <v>M</v>
      </c>
      <c r="E60" t="s">
        <v>21</v>
      </c>
      <c r="F60" t="s">
        <v>22</v>
      </c>
      <c r="G60" t="str">
        <f>"U12"</f>
        <v>U12</v>
      </c>
      <c r="H60" t="str">
        <f>"-36"</f>
        <v>-36</v>
      </c>
      <c r="I60" t="str">
        <f>"0239730"</f>
        <v>0239730</v>
      </c>
      <c r="J60" t="str">
        <f>"Yes"</f>
        <v>Yes</v>
      </c>
      <c r="K60" t="str">
        <f>"Quebec"</f>
        <v>Quebec</v>
      </c>
      <c r="N60" t="s">
        <v>23</v>
      </c>
    </row>
    <row r="61" spans="1:14" hidden="1" x14ac:dyDescent="0.25">
      <c r="A61" t="s">
        <v>127</v>
      </c>
      <c r="B61" t="s">
        <v>128</v>
      </c>
      <c r="C61" t="s">
        <v>129</v>
      </c>
      <c r="D61" t="s">
        <v>52</v>
      </c>
      <c r="E61" t="s">
        <v>27</v>
      </c>
      <c r="F61" t="s">
        <v>18</v>
      </c>
      <c r="G61" t="s">
        <v>72</v>
      </c>
      <c r="H61">
        <v>-55</v>
      </c>
      <c r="I61" t="s">
        <v>130</v>
      </c>
      <c r="J61" t="s">
        <v>46</v>
      </c>
      <c r="K61" t="s">
        <v>47</v>
      </c>
      <c r="M61" t="s">
        <v>35</v>
      </c>
      <c r="N61" t="s">
        <v>121</v>
      </c>
    </row>
    <row r="62" spans="1:14" hidden="1" x14ac:dyDescent="0.25">
      <c r="A62" t="str">
        <f>"Frederique"</f>
        <v>Frederique</v>
      </c>
      <c r="B62" t="str">
        <f>"Forest"</f>
        <v>Forest</v>
      </c>
      <c r="C62" t="str">
        <f>"Kiseki Judo"</f>
        <v>Kiseki Judo</v>
      </c>
      <c r="D62" t="str">
        <f>"F"</f>
        <v>F</v>
      </c>
      <c r="E62" t="s">
        <v>24</v>
      </c>
      <c r="F62" t="s">
        <v>64</v>
      </c>
      <c r="G62" t="str">
        <f>"U16"</f>
        <v>U16</v>
      </c>
      <c r="H62" t="str">
        <f>"+70"</f>
        <v>+70</v>
      </c>
      <c r="I62" t="str">
        <f>"0222556"</f>
        <v>0222556</v>
      </c>
      <c r="J62" t="str">
        <f>"Yes"</f>
        <v>Yes</v>
      </c>
      <c r="K62" t="str">
        <f>"Quebec"</f>
        <v>Quebec</v>
      </c>
      <c r="M62" t="str">
        <f>""</f>
        <v/>
      </c>
      <c r="N62" t="s">
        <v>123</v>
      </c>
    </row>
    <row r="63" spans="1:14" hidden="1" x14ac:dyDescent="0.25">
      <c r="A63" t="str">
        <f>"Nabila"</f>
        <v>Nabila</v>
      </c>
      <c r="B63" t="str">
        <f>"Berkat"</f>
        <v>Berkat</v>
      </c>
      <c r="C63" t="str">
        <f>"Kiseki Judo"</f>
        <v>Kiseki Judo</v>
      </c>
      <c r="D63" t="str">
        <f>"F"</f>
        <v>F</v>
      </c>
      <c r="E63" t="s">
        <v>131</v>
      </c>
      <c r="F63" t="s">
        <v>132</v>
      </c>
      <c r="G63" t="str">
        <f>"Senior A"</f>
        <v>Senior A</v>
      </c>
      <c r="H63" s="1" t="str">
        <f>"-48"</f>
        <v>-48</v>
      </c>
      <c r="I63" t="str">
        <f>"0410474"</f>
        <v>0410474</v>
      </c>
      <c r="J63" t="str">
        <f>"Yes"</f>
        <v>Yes</v>
      </c>
      <c r="K63" t="str">
        <f>"Quebec"</f>
        <v>Quebec</v>
      </c>
      <c r="N63" t="s">
        <v>133</v>
      </c>
    </row>
    <row r="64" spans="1:14" hidden="1" x14ac:dyDescent="0.25">
      <c r="A64" t="str">
        <f>"Shannon"</f>
        <v>Shannon</v>
      </c>
      <c r="B64" t="str">
        <f>"Power"</f>
        <v>Power</v>
      </c>
      <c r="C64" t="str">
        <f>"Fermont"</f>
        <v>Fermont</v>
      </c>
      <c r="D64" t="str">
        <f>"M"</f>
        <v>M</v>
      </c>
      <c r="E64" t="s">
        <v>134</v>
      </c>
      <c r="F64" t="s">
        <v>30</v>
      </c>
      <c r="G64" t="str">
        <f>"Master"</f>
        <v>Master</v>
      </c>
      <c r="H64" t="str">
        <f>"+100"</f>
        <v>+100</v>
      </c>
      <c r="I64" t="str">
        <f>"0070201"</f>
        <v>0070201</v>
      </c>
      <c r="J64" t="str">
        <f>"Yes"</f>
        <v>Yes</v>
      </c>
      <c r="K64" t="str">
        <f>"Quebec"</f>
        <v>Quebec</v>
      </c>
      <c r="N64" t="s">
        <v>135</v>
      </c>
    </row>
    <row r="65" spans="1:14" hidden="1" x14ac:dyDescent="0.25">
      <c r="A65" t="str">
        <f>"Aurelie"</f>
        <v>Aurelie</v>
      </c>
      <c r="B65" t="str">
        <f>"Laroche"</f>
        <v>Laroche</v>
      </c>
      <c r="C65" t="str">
        <f>"Kime-Waza  Joliette"</f>
        <v>Kime-Waza  Joliette</v>
      </c>
      <c r="D65" t="str">
        <f>"F"</f>
        <v>F</v>
      </c>
      <c r="E65" t="s">
        <v>32</v>
      </c>
      <c r="F65" t="s">
        <v>64</v>
      </c>
      <c r="G65" t="str">
        <f>"U16"</f>
        <v>U16</v>
      </c>
      <c r="H65" t="str">
        <f>"+70"</f>
        <v>+70</v>
      </c>
      <c r="I65" t="str">
        <f>"0188223"</f>
        <v>0188223</v>
      </c>
      <c r="J65" t="str">
        <f>"Yes"</f>
        <v>Yes</v>
      </c>
      <c r="K65" t="str">
        <f>"Quebec"</f>
        <v>Quebec</v>
      </c>
      <c r="M65" t="str">
        <f>""</f>
        <v/>
      </c>
      <c r="N65" t="s">
        <v>123</v>
      </c>
    </row>
    <row r="66" spans="1:14" hidden="1" x14ac:dyDescent="0.25">
      <c r="A66" t="str">
        <f>"Jérémy"</f>
        <v>Jérémy</v>
      </c>
      <c r="B66" t="str">
        <f>"Bernatchez"</f>
        <v>Bernatchez</v>
      </c>
      <c r="C66" t="str">
        <f>"Judo Dojo Vallée"</f>
        <v>Judo Dojo Vallée</v>
      </c>
      <c r="D66" t="str">
        <f>"M"</f>
        <v>M</v>
      </c>
      <c r="E66" t="s">
        <v>21</v>
      </c>
      <c r="F66" t="s">
        <v>90</v>
      </c>
      <c r="G66" t="str">
        <f>"U12"</f>
        <v>U12</v>
      </c>
      <c r="H66" t="str">
        <f>"-55"</f>
        <v>-55</v>
      </c>
      <c r="I66" t="str">
        <f>"0409990"</f>
        <v>0409990</v>
      </c>
      <c r="J66" t="str">
        <f>"Yes"</f>
        <v>Yes</v>
      </c>
      <c r="K66" t="str">
        <f>"Quebec"</f>
        <v>Quebec</v>
      </c>
      <c r="M66" t="str">
        <f>""</f>
        <v/>
      </c>
      <c r="N66" t="s">
        <v>23</v>
      </c>
    </row>
    <row r="67" spans="1:14" hidden="1" x14ac:dyDescent="0.25">
      <c r="A67" t="str">
        <f>"Rami"</f>
        <v>Rami</v>
      </c>
      <c r="B67" t="str">
        <f>"El Hama"</f>
        <v>El Hama</v>
      </c>
      <c r="C67" t="str">
        <f>"Budokan Saint-Laurent"</f>
        <v>Budokan Saint-Laurent</v>
      </c>
      <c r="D67" t="str">
        <f>"M"</f>
        <v>M</v>
      </c>
      <c r="E67" t="s">
        <v>32</v>
      </c>
      <c r="F67" t="s">
        <v>37</v>
      </c>
      <c r="G67" t="str">
        <f>"U16"</f>
        <v>U16</v>
      </c>
      <c r="H67" t="str">
        <f>"-50"</f>
        <v>-50</v>
      </c>
      <c r="I67" t="str">
        <f>"0234870"</f>
        <v>0234870</v>
      </c>
      <c r="J67" t="str">
        <f>"Yes"</f>
        <v>Yes</v>
      </c>
      <c r="K67" t="str">
        <f>"Quebec"</f>
        <v>Quebec</v>
      </c>
      <c r="M67" t="s">
        <v>136</v>
      </c>
      <c r="N67" t="s">
        <v>137</v>
      </c>
    </row>
    <row r="68" spans="1:14" x14ac:dyDescent="0.25">
      <c r="A68" t="s">
        <v>49</v>
      </c>
      <c r="B68" t="s">
        <v>50</v>
      </c>
      <c r="C68" t="s">
        <v>51</v>
      </c>
      <c r="D68" t="s">
        <v>52</v>
      </c>
      <c r="E68" t="s">
        <v>24</v>
      </c>
      <c r="F68" t="s">
        <v>18</v>
      </c>
      <c r="G68" t="s">
        <v>25</v>
      </c>
      <c r="H68">
        <v>-55</v>
      </c>
      <c r="I68" t="s">
        <v>54</v>
      </c>
      <c r="J68" t="s">
        <v>46</v>
      </c>
      <c r="K68" t="s">
        <v>47</v>
      </c>
      <c r="M68" t="s">
        <v>55</v>
      </c>
      <c r="N68" t="s">
        <v>101</v>
      </c>
    </row>
    <row r="69" spans="1:14" hidden="1" x14ac:dyDescent="0.25">
      <c r="A69" t="str">
        <f>"Émile"</f>
        <v>Émile</v>
      </c>
      <c r="B69" t="str">
        <f>"Drolet"</f>
        <v>Drolet</v>
      </c>
      <c r="C69" t="str">
        <f>"Albatros"</f>
        <v>Albatros</v>
      </c>
      <c r="D69" t="str">
        <f>"M"</f>
        <v>M</v>
      </c>
      <c r="E69" t="s">
        <v>71</v>
      </c>
      <c r="F69" t="s">
        <v>18</v>
      </c>
      <c r="G69" t="str">
        <f>"U21/Senior B"</f>
        <v>U21/Senior B</v>
      </c>
      <c r="H69" t="str">
        <f>"-55"</f>
        <v>-55</v>
      </c>
      <c r="I69" t="str">
        <f>"0154900"</f>
        <v>0154900</v>
      </c>
      <c r="J69" t="str">
        <f>"Yes"</f>
        <v>Yes</v>
      </c>
      <c r="K69" t="str">
        <f>"Quebec"</f>
        <v>Quebec</v>
      </c>
      <c r="N69" t="s">
        <v>121</v>
      </c>
    </row>
    <row r="70" spans="1:14" hidden="1" x14ac:dyDescent="0.25">
      <c r="A70" t="str">
        <f>"Gabriel"</f>
        <v>Gabriel</v>
      </c>
      <c r="B70" t="str">
        <f>"Berube"</f>
        <v>Berube</v>
      </c>
      <c r="C70" t="str">
        <f>"Blainville"</f>
        <v>Blainville</v>
      </c>
      <c r="D70" t="str">
        <f>"M"</f>
        <v>M</v>
      </c>
      <c r="E70" t="s">
        <v>60</v>
      </c>
      <c r="F70" t="s">
        <v>90</v>
      </c>
      <c r="G70" t="str">
        <f>"U12"</f>
        <v>U12</v>
      </c>
      <c r="H70" t="str">
        <f>"-45"</f>
        <v>-45</v>
      </c>
      <c r="I70" t="str">
        <f>"0200268"</f>
        <v>0200268</v>
      </c>
      <c r="J70" t="str">
        <f>"Yes"</f>
        <v>Yes</v>
      </c>
      <c r="K70" t="str">
        <f>"Quebec"</f>
        <v>Quebec</v>
      </c>
      <c r="N70" t="s">
        <v>23</v>
      </c>
    </row>
    <row r="71" spans="1:14" hidden="1" x14ac:dyDescent="0.25">
      <c r="A71" t="str">
        <f>"Henri"</f>
        <v>Henri</v>
      </c>
      <c r="B71" t="str">
        <f>"Bérubé"</f>
        <v>Bérubé</v>
      </c>
      <c r="C71" t="str">
        <f>"Baie-Comeau"</f>
        <v>Baie-Comeau</v>
      </c>
      <c r="D71" t="str">
        <f>"M"</f>
        <v>M</v>
      </c>
      <c r="E71" t="s">
        <v>32</v>
      </c>
      <c r="F71" t="s">
        <v>64</v>
      </c>
      <c r="G71" t="str">
        <f>"U16"</f>
        <v>U16</v>
      </c>
      <c r="H71" t="str">
        <f>"-38"</f>
        <v>-38</v>
      </c>
      <c r="I71" t="str">
        <f>"0202710"</f>
        <v>0202710</v>
      </c>
      <c r="J71" t="str">
        <f>"Yes"</f>
        <v>Yes</v>
      </c>
      <c r="K71" t="str">
        <f>"Quebec"</f>
        <v>Quebec</v>
      </c>
      <c r="N71" t="s">
        <v>112</v>
      </c>
    </row>
    <row r="72" spans="1:14" x14ac:dyDescent="0.25">
      <c r="A72" t="s">
        <v>138</v>
      </c>
      <c r="B72" t="s">
        <v>139</v>
      </c>
      <c r="C72" t="s">
        <v>140</v>
      </c>
      <c r="D72" t="s">
        <v>44</v>
      </c>
      <c r="E72" t="s">
        <v>24</v>
      </c>
      <c r="F72" t="s">
        <v>18</v>
      </c>
      <c r="G72" t="s">
        <v>25</v>
      </c>
      <c r="H72">
        <v>-40</v>
      </c>
      <c r="I72" t="s">
        <v>141</v>
      </c>
      <c r="J72" t="s">
        <v>46</v>
      </c>
      <c r="K72" t="s">
        <v>47</v>
      </c>
      <c r="M72" t="s">
        <v>142</v>
      </c>
      <c r="N72" t="s">
        <v>143</v>
      </c>
    </row>
    <row r="73" spans="1:14" hidden="1" x14ac:dyDescent="0.25">
      <c r="A73" t="s">
        <v>144</v>
      </c>
      <c r="B73" t="s">
        <v>66</v>
      </c>
      <c r="C73" t="s">
        <v>145</v>
      </c>
      <c r="D73" t="s">
        <v>44</v>
      </c>
      <c r="E73" t="s">
        <v>17</v>
      </c>
      <c r="F73" t="s">
        <v>18</v>
      </c>
      <c r="G73" t="s">
        <v>72</v>
      </c>
      <c r="H73">
        <v>78</v>
      </c>
      <c r="I73" t="s">
        <v>146</v>
      </c>
      <c r="J73" t="s">
        <v>46</v>
      </c>
      <c r="K73" t="s">
        <v>47</v>
      </c>
      <c r="M73" t="s">
        <v>147</v>
      </c>
      <c r="N73" t="s">
        <v>148</v>
      </c>
    </row>
    <row r="74" spans="1:14" hidden="1" x14ac:dyDescent="0.25">
      <c r="A74" t="s">
        <v>149</v>
      </c>
      <c r="B74" t="s">
        <v>150</v>
      </c>
      <c r="C74" t="s">
        <v>59</v>
      </c>
      <c r="D74" t="s">
        <v>44</v>
      </c>
      <c r="E74" t="s">
        <v>32</v>
      </c>
      <c r="F74" t="s">
        <v>64</v>
      </c>
      <c r="G74" t="s">
        <v>151</v>
      </c>
      <c r="H74">
        <v>-40</v>
      </c>
      <c r="I74" t="s">
        <v>152</v>
      </c>
      <c r="J74" t="s">
        <v>46</v>
      </c>
      <c r="K74" t="s">
        <v>47</v>
      </c>
      <c r="N74" t="s">
        <v>153</v>
      </c>
    </row>
    <row r="75" spans="1:14" hidden="1" x14ac:dyDescent="0.25">
      <c r="A75" t="s">
        <v>154</v>
      </c>
      <c r="B75" t="s">
        <v>155</v>
      </c>
      <c r="C75" t="s">
        <v>67</v>
      </c>
      <c r="D75" t="s">
        <v>52</v>
      </c>
      <c r="E75" t="s">
        <v>71</v>
      </c>
      <c r="F75" t="s">
        <v>30</v>
      </c>
      <c r="G75" t="s">
        <v>85</v>
      </c>
      <c r="H75" s="1">
        <v>-60</v>
      </c>
      <c r="I75" t="s">
        <v>156</v>
      </c>
      <c r="J75" t="s">
        <v>46</v>
      </c>
      <c r="K75" t="s">
        <v>47</v>
      </c>
      <c r="M75" t="s">
        <v>157</v>
      </c>
      <c r="N75" t="s">
        <v>158</v>
      </c>
    </row>
    <row r="76" spans="1:14" hidden="1" x14ac:dyDescent="0.25">
      <c r="A76" t="str">
        <f>"Mathieu"</f>
        <v>Mathieu</v>
      </c>
      <c r="B76" t="str">
        <f>"Ganet"</f>
        <v>Ganet</v>
      </c>
      <c r="C76" t="s">
        <v>43</v>
      </c>
      <c r="D76" t="str">
        <f>"M"</f>
        <v>M</v>
      </c>
      <c r="E76" t="s">
        <v>71</v>
      </c>
      <c r="F76" t="s">
        <v>132</v>
      </c>
      <c r="G76" t="str">
        <f>"U21/Senior B"</f>
        <v>U21/Senior B</v>
      </c>
      <c r="H76" t="str">
        <f>"-55"</f>
        <v>-55</v>
      </c>
      <c r="I76" t="str">
        <f>"0229650"</f>
        <v>0229650</v>
      </c>
      <c r="J76" t="str">
        <f>"Yes"</f>
        <v>Yes</v>
      </c>
      <c r="K76" t="str">
        <f>"Quebec"</f>
        <v>Quebec</v>
      </c>
      <c r="M76" t="str">
        <f>""</f>
        <v/>
      </c>
      <c r="N76" t="s">
        <v>121</v>
      </c>
    </row>
    <row r="77" spans="1:14" hidden="1" x14ac:dyDescent="0.25">
      <c r="A77" t="str">
        <f>"Eleonore"</f>
        <v>Eleonore</v>
      </c>
      <c r="B77" t="str">
        <f>"Blouin"</f>
        <v>Blouin</v>
      </c>
      <c r="C77" t="str">
        <f>"CJVR"</f>
        <v>CJVR</v>
      </c>
      <c r="D77" t="str">
        <f>"F"</f>
        <v>F</v>
      </c>
      <c r="E77" t="s">
        <v>21</v>
      </c>
      <c r="F77" t="s">
        <v>37</v>
      </c>
      <c r="G77" t="str">
        <f>"U12"</f>
        <v>U12</v>
      </c>
      <c r="H77" t="str">
        <f>"-39"</f>
        <v>-39</v>
      </c>
      <c r="I77" t="str">
        <f>"0206575"</f>
        <v>0206575</v>
      </c>
      <c r="J77" t="str">
        <f>"Yes"</f>
        <v>Yes</v>
      </c>
      <c r="K77" t="str">
        <f>"Quebec"</f>
        <v>Quebec</v>
      </c>
      <c r="M77" t="str">
        <f>""</f>
        <v/>
      </c>
      <c r="N77" t="s">
        <v>91</v>
      </c>
    </row>
    <row r="78" spans="1:14" hidden="1" x14ac:dyDescent="0.25">
      <c r="A78" t="str">
        <f>"Jeremy"</f>
        <v>Jeremy</v>
      </c>
      <c r="B78" t="str">
        <f>"Blouin"</f>
        <v>Blouin</v>
      </c>
      <c r="C78" t="str">
        <f>"CJVR"</f>
        <v>CJVR</v>
      </c>
      <c r="D78" t="str">
        <f>"M"</f>
        <v>M</v>
      </c>
      <c r="E78" t="s">
        <v>60</v>
      </c>
      <c r="F78" t="s">
        <v>37</v>
      </c>
      <c r="G78" t="str">
        <f>"U12"</f>
        <v>U12</v>
      </c>
      <c r="H78" t="str">
        <f>"-30"</f>
        <v>-30</v>
      </c>
      <c r="I78" t="str">
        <f>"0206574"</f>
        <v>0206574</v>
      </c>
      <c r="J78" t="str">
        <f>"Yes"</f>
        <v>Yes</v>
      </c>
      <c r="K78" t="str">
        <f>"Quebec"</f>
        <v>Quebec</v>
      </c>
      <c r="M78" t="str">
        <f>""</f>
        <v/>
      </c>
      <c r="N78" t="s">
        <v>23</v>
      </c>
    </row>
    <row r="79" spans="1:14" hidden="1" x14ac:dyDescent="0.25">
      <c r="A79" t="str">
        <f>"Felix"</f>
        <v>Felix</v>
      </c>
      <c r="B79" t="str">
        <f>"Gauthier"</f>
        <v>Gauthier</v>
      </c>
      <c r="C79" t="str">
        <f>"Judokas Jonquière"</f>
        <v>Judokas Jonquière</v>
      </c>
      <c r="D79" t="str">
        <f>"M"</f>
        <v>M</v>
      </c>
      <c r="E79" t="s">
        <v>14</v>
      </c>
      <c r="F79" t="s">
        <v>90</v>
      </c>
      <c r="G79" t="str">
        <f>"U14"</f>
        <v>U14</v>
      </c>
      <c r="H79" t="str">
        <f>"-31"</f>
        <v>-31</v>
      </c>
      <c r="I79" t="str">
        <f>"0202126"</f>
        <v>0202126</v>
      </c>
      <c r="J79" t="str">
        <f>"Yes"</f>
        <v>Yes</v>
      </c>
      <c r="K79" t="str">
        <f>"Quebec"</f>
        <v>Quebec</v>
      </c>
      <c r="N79" t="s">
        <v>89</v>
      </c>
    </row>
    <row r="80" spans="1:14" hidden="1" x14ac:dyDescent="0.25">
      <c r="A80" t="str">
        <f>"Sofiane"</f>
        <v>Sofiane</v>
      </c>
      <c r="B80" t="str">
        <f>"Bousbiat"</f>
        <v>Bousbiat</v>
      </c>
      <c r="C80" t="str">
        <f>"Boucherville"</f>
        <v>Boucherville</v>
      </c>
      <c r="D80" t="str">
        <f>"M"</f>
        <v>M</v>
      </c>
      <c r="E80" t="s">
        <v>32</v>
      </c>
      <c r="F80" t="s">
        <v>39</v>
      </c>
      <c r="G80" t="str">
        <f>"U16"</f>
        <v>U16</v>
      </c>
      <c r="H80" t="str">
        <f>"-38"</f>
        <v>-38</v>
      </c>
      <c r="I80" t="str">
        <f>"0188717"</f>
        <v>0188717</v>
      </c>
      <c r="J80" t="str">
        <f>"Yes"</f>
        <v>Yes</v>
      </c>
      <c r="K80" t="str">
        <f>"Quebec"</f>
        <v>Quebec</v>
      </c>
      <c r="M80" t="str">
        <f>""</f>
        <v/>
      </c>
      <c r="N80" t="s">
        <v>112</v>
      </c>
    </row>
    <row r="81" spans="1:14" x14ac:dyDescent="0.25">
      <c r="A81" t="str">
        <f>"Julien"</f>
        <v>Julien</v>
      </c>
      <c r="B81" t="str">
        <f>"Fraser"</f>
        <v>Fraser</v>
      </c>
      <c r="C81" t="str">
        <f>"Vieille Capitale"</f>
        <v>Vieille Capitale</v>
      </c>
      <c r="D81" t="str">
        <f>"M"</f>
        <v>M</v>
      </c>
      <c r="E81" t="s">
        <v>27</v>
      </c>
      <c r="F81" t="s">
        <v>18</v>
      </c>
      <c r="G81" t="str">
        <f>"U18"</f>
        <v>U18</v>
      </c>
      <c r="H81" t="str">
        <f>"-55"</f>
        <v>-55</v>
      </c>
      <c r="I81" t="str">
        <f>"0165553"</f>
        <v>0165553</v>
      </c>
      <c r="J81" t="str">
        <f>"Yes"</f>
        <v>Yes</v>
      </c>
      <c r="K81" t="str">
        <f>"Quebec"</f>
        <v>Quebec</v>
      </c>
      <c r="N81" t="s">
        <v>101</v>
      </c>
    </row>
    <row r="82" spans="1:14" hidden="1" x14ac:dyDescent="0.25">
      <c r="A82" t="str">
        <f>"Zachary"</f>
        <v>Zachary</v>
      </c>
      <c r="B82" t="str">
        <f>"Huard-Tremblay"</f>
        <v>Huard-Tremblay</v>
      </c>
      <c r="C82" t="str">
        <f>"Baie-Comeau"</f>
        <v>Baie-Comeau</v>
      </c>
      <c r="D82" t="str">
        <f>"M"</f>
        <v>M</v>
      </c>
      <c r="E82" t="s">
        <v>14</v>
      </c>
      <c r="F82" t="s">
        <v>90</v>
      </c>
      <c r="G82" t="str">
        <f>"U14"</f>
        <v>U14</v>
      </c>
      <c r="H82" t="str">
        <f>"-31"</f>
        <v>-31</v>
      </c>
      <c r="I82" t="str">
        <f>"0189617"</f>
        <v>0189617</v>
      </c>
      <c r="J82" t="str">
        <f>"Yes"</f>
        <v>Yes</v>
      </c>
      <c r="K82" t="str">
        <f>"Quebec"</f>
        <v>Quebec</v>
      </c>
      <c r="N82" t="s">
        <v>89</v>
      </c>
    </row>
    <row r="83" spans="1:14" hidden="1" x14ac:dyDescent="0.25">
      <c r="A83" t="str">
        <f>"Antoine"</f>
        <v>Antoine</v>
      </c>
      <c r="B83" t="str">
        <f>"Desgranges"</f>
        <v>Desgranges</v>
      </c>
      <c r="C83" t="str">
        <f>"CJVR"</f>
        <v>CJVR</v>
      </c>
      <c r="D83" t="str">
        <f>"M"</f>
        <v>M</v>
      </c>
      <c r="E83" t="s">
        <v>32</v>
      </c>
      <c r="F83" t="s">
        <v>107</v>
      </c>
      <c r="G83" t="str">
        <f>"U16"</f>
        <v>U16</v>
      </c>
      <c r="H83" t="str">
        <f>"-38"</f>
        <v>-38</v>
      </c>
      <c r="I83" t="str">
        <f>"0203056"</f>
        <v>0203056</v>
      </c>
      <c r="J83" t="str">
        <f>"Yes"</f>
        <v>Yes</v>
      </c>
      <c r="K83" t="str">
        <f>"Quebec"</f>
        <v>Quebec</v>
      </c>
      <c r="M83" t="str">
        <f>""</f>
        <v/>
      </c>
      <c r="N83" t="s">
        <v>112</v>
      </c>
    </row>
    <row r="84" spans="1:14" hidden="1" x14ac:dyDescent="0.25">
      <c r="A84" t="str">
        <f>"Maya"</f>
        <v>Maya</v>
      </c>
      <c r="B84" t="str">
        <f>"Sahraoui"</f>
        <v>Sahraoui</v>
      </c>
      <c r="C84" t="str">
        <f>"Blainville"</f>
        <v>Blainville</v>
      </c>
      <c r="D84" t="str">
        <f>"F"</f>
        <v>F</v>
      </c>
      <c r="E84" t="s">
        <v>24</v>
      </c>
      <c r="F84" t="s">
        <v>39</v>
      </c>
      <c r="G84" t="s">
        <v>151</v>
      </c>
      <c r="H84" t="str">
        <f>"+70"</f>
        <v>+70</v>
      </c>
      <c r="I84" t="str">
        <f>"0183295"</f>
        <v>0183295</v>
      </c>
      <c r="J84" t="str">
        <f>"Yes"</f>
        <v>Yes</v>
      </c>
      <c r="K84" t="str">
        <f>"Quebec"</f>
        <v>Quebec</v>
      </c>
      <c r="M84" t="s">
        <v>48</v>
      </c>
      <c r="N84" t="s">
        <v>153</v>
      </c>
    </row>
    <row r="85" spans="1:14" x14ac:dyDescent="0.25">
      <c r="A85" t="str">
        <f>"Thomas"</f>
        <v>Thomas</v>
      </c>
      <c r="B85" t="str">
        <f>"Ganet"</f>
        <v>Ganet</v>
      </c>
      <c r="C85" t="s">
        <v>43</v>
      </c>
      <c r="D85" t="str">
        <f>"M"</f>
        <v>M</v>
      </c>
      <c r="E85" t="s">
        <v>27</v>
      </c>
      <c r="F85" s="2" t="s">
        <v>18</v>
      </c>
      <c r="G85" t="str">
        <f>"U18"</f>
        <v>U18</v>
      </c>
      <c r="H85" t="str">
        <f>"-60"</f>
        <v>-60</v>
      </c>
      <c r="I85" t="str">
        <f>"0229649"</f>
        <v>0229649</v>
      </c>
      <c r="J85" t="str">
        <f>"Yes"</f>
        <v>Yes</v>
      </c>
      <c r="K85" t="str">
        <f>"Quebec"</f>
        <v>Quebec</v>
      </c>
      <c r="N85" t="s">
        <v>101</v>
      </c>
    </row>
    <row r="86" spans="1:14" hidden="1" x14ac:dyDescent="0.25">
      <c r="A86" t="str">
        <f>"John"</f>
        <v>John</v>
      </c>
      <c r="B86" t="str">
        <f>"Abraini"</f>
        <v>Abraini</v>
      </c>
      <c r="C86" t="str">
        <f>"Vieille Capitale"</f>
        <v>Vieille Capitale</v>
      </c>
      <c r="D86" t="str">
        <f>"M"</f>
        <v>M</v>
      </c>
      <c r="E86" t="s">
        <v>27</v>
      </c>
      <c r="F86" t="s">
        <v>18</v>
      </c>
      <c r="G86" t="s">
        <v>72</v>
      </c>
      <c r="H86" t="str">
        <f>"-60"</f>
        <v>-60</v>
      </c>
      <c r="I86" t="str">
        <f>"0176332"</f>
        <v>0176332</v>
      </c>
      <c r="J86" t="str">
        <f>"Yes"</f>
        <v>Yes</v>
      </c>
      <c r="K86" t="str">
        <f>"Quebec"</f>
        <v>Quebec</v>
      </c>
      <c r="M86" t="s">
        <v>35</v>
      </c>
      <c r="N86" t="s">
        <v>159</v>
      </c>
    </row>
    <row r="87" spans="1:14" hidden="1" x14ac:dyDescent="0.25">
      <c r="A87" t="str">
        <f>"Florence"</f>
        <v>Florence</v>
      </c>
      <c r="B87" t="str">
        <f>"Bosse"</f>
        <v>Bosse</v>
      </c>
      <c r="C87" t="str">
        <f>"Rikidokan"</f>
        <v>Rikidokan</v>
      </c>
      <c r="D87" t="str">
        <f>"F"</f>
        <v>F</v>
      </c>
      <c r="E87" t="s">
        <v>21</v>
      </c>
      <c r="F87" t="s">
        <v>90</v>
      </c>
      <c r="G87" t="str">
        <f>"U12"</f>
        <v>U12</v>
      </c>
      <c r="H87" t="str">
        <f>"-36"</f>
        <v>-36</v>
      </c>
      <c r="I87" t="str">
        <f>"0189697"</f>
        <v>0189697</v>
      </c>
      <c r="J87" t="str">
        <f>"Yes"</f>
        <v>Yes</v>
      </c>
      <c r="K87" t="str">
        <f>"Quebec"</f>
        <v>Quebec</v>
      </c>
      <c r="N87" t="s">
        <v>91</v>
      </c>
    </row>
    <row r="88" spans="1:14" hidden="1" x14ac:dyDescent="0.25">
      <c r="A88" t="str">
        <f>"Ludovic"</f>
        <v>Ludovic</v>
      </c>
      <c r="B88" t="str">
        <f>"Durrieu"</f>
        <v>Durrieu</v>
      </c>
      <c r="C88" t="str">
        <f>"Shidokan"</f>
        <v>Shidokan</v>
      </c>
      <c r="D88" t="str">
        <f>"M"</f>
        <v>M</v>
      </c>
      <c r="E88" t="s">
        <v>160</v>
      </c>
      <c r="F88" t="s">
        <v>132</v>
      </c>
      <c r="G88" t="str">
        <f>"Master"</f>
        <v>Master</v>
      </c>
      <c r="H88" t="str">
        <f>"-66"</f>
        <v>-66</v>
      </c>
      <c r="I88" t="str">
        <f>"0211193"</f>
        <v>0211193</v>
      </c>
      <c r="J88" t="str">
        <f>"Yes"</f>
        <v>Yes</v>
      </c>
      <c r="K88" t="str">
        <f>"Quebec"</f>
        <v>Quebec</v>
      </c>
      <c r="M88" t="str">
        <f>""</f>
        <v/>
      </c>
      <c r="N88" t="s">
        <v>161</v>
      </c>
    </row>
    <row r="89" spans="1:14" hidden="1" x14ac:dyDescent="0.25">
      <c r="A89" t="str">
        <f>"Frederic"</f>
        <v>Frederic</v>
      </c>
      <c r="B89" t="str">
        <f>"Lachance"</f>
        <v>Lachance</v>
      </c>
      <c r="C89" t="str">
        <f>"Haut-Richelieu"</f>
        <v>Haut-Richelieu</v>
      </c>
      <c r="D89" t="str">
        <f>"M"</f>
        <v>M</v>
      </c>
      <c r="E89" t="s">
        <v>14</v>
      </c>
      <c r="F89" t="s">
        <v>37</v>
      </c>
      <c r="G89" t="str">
        <f>"U14"</f>
        <v>U14</v>
      </c>
      <c r="H89" s="2" t="str">
        <f>"-31"</f>
        <v>-31</v>
      </c>
      <c r="I89" t="str">
        <f>"0222616"</f>
        <v>0222616</v>
      </c>
      <c r="J89" t="str">
        <f>"Yes"</f>
        <v>Yes</v>
      </c>
      <c r="K89" t="str">
        <f>"Quebec"</f>
        <v>Quebec</v>
      </c>
      <c r="N89" t="s">
        <v>89</v>
      </c>
    </row>
    <row r="90" spans="1:14" hidden="1" x14ac:dyDescent="0.25">
      <c r="A90" t="str">
        <f>"Thomas"</f>
        <v>Thomas</v>
      </c>
      <c r="B90" t="str">
        <f>"Leroux"</f>
        <v>Leroux</v>
      </c>
      <c r="C90" t="str">
        <f>"Hontaï Dojo"</f>
        <v>Hontaï Dojo</v>
      </c>
      <c r="D90" t="str">
        <f>"M"</f>
        <v>M</v>
      </c>
      <c r="E90" t="s">
        <v>14</v>
      </c>
      <c r="F90" t="s">
        <v>15</v>
      </c>
      <c r="G90" t="str">
        <f>"U14"</f>
        <v>U14</v>
      </c>
      <c r="H90" t="str">
        <f>"-31"</f>
        <v>-31</v>
      </c>
      <c r="I90" t="str">
        <f>"0238925"</f>
        <v>0238925</v>
      </c>
      <c r="J90" t="str">
        <f>"Yes"</f>
        <v>Yes</v>
      </c>
      <c r="K90" t="str">
        <f>"Quebec"</f>
        <v>Quebec</v>
      </c>
      <c r="N90" t="s">
        <v>89</v>
      </c>
    </row>
    <row r="91" spans="1:14" hidden="1" x14ac:dyDescent="0.25">
      <c r="A91" t="str">
        <f>"Samuel"</f>
        <v>Samuel</v>
      </c>
      <c r="B91" t="str">
        <f>"Lesperance"</f>
        <v>Lesperance</v>
      </c>
      <c r="C91" t="str">
        <f>"Judo Beauce"</f>
        <v>Judo Beauce</v>
      </c>
      <c r="D91" t="str">
        <f>"M"</f>
        <v>M</v>
      </c>
      <c r="E91" t="s">
        <v>14</v>
      </c>
      <c r="F91" t="s">
        <v>90</v>
      </c>
      <c r="G91" t="str">
        <f>"U14"</f>
        <v>U14</v>
      </c>
      <c r="H91" t="str">
        <f>"-31"</f>
        <v>-31</v>
      </c>
      <c r="I91" t="str">
        <f>"0234931"</f>
        <v>0234931</v>
      </c>
      <c r="J91" t="str">
        <f>"Yes"</f>
        <v>Yes</v>
      </c>
      <c r="K91" t="str">
        <f>"Quebec"</f>
        <v>Quebec</v>
      </c>
      <c r="N91" t="s">
        <v>89</v>
      </c>
    </row>
    <row r="92" spans="1:14" hidden="1" x14ac:dyDescent="0.25">
      <c r="A92" t="str">
        <f>"Arno"</f>
        <v>Arno</v>
      </c>
      <c r="B92" t="str">
        <f>"Blackière"</f>
        <v>Blackière</v>
      </c>
      <c r="C92" t="str">
        <f>"Judokas Jonquière"</f>
        <v>Judokas Jonquière</v>
      </c>
      <c r="D92" t="str">
        <f>"M"</f>
        <v>M</v>
      </c>
      <c r="E92" t="s">
        <v>71</v>
      </c>
      <c r="F92" t="s">
        <v>30</v>
      </c>
      <c r="G92" t="s">
        <v>72</v>
      </c>
      <c r="H92" t="str">
        <f>"-60"</f>
        <v>-60</v>
      </c>
      <c r="I92" t="str">
        <f>"0156762"</f>
        <v>0156762</v>
      </c>
      <c r="J92" t="str">
        <f>"Yes"</f>
        <v>Yes</v>
      </c>
      <c r="K92" t="str">
        <f>"Quebec"</f>
        <v>Quebec</v>
      </c>
      <c r="M92" t="str">
        <f>"2 divisions : U21/Senior B + Senior A"</f>
        <v>2 divisions : U21/Senior B + Senior A</v>
      </c>
      <c r="N92" t="s">
        <v>159</v>
      </c>
    </row>
    <row r="93" spans="1:14" hidden="1" x14ac:dyDescent="0.25">
      <c r="A93" t="str">
        <f>"Ameliane"</f>
        <v>Ameliane</v>
      </c>
      <c r="B93" t="str">
        <f>"Boudreault"</f>
        <v>Boudreault</v>
      </c>
      <c r="C93" t="str">
        <f>"Seiko"</f>
        <v>Seiko</v>
      </c>
      <c r="D93" t="str">
        <f>"F"</f>
        <v>F</v>
      </c>
      <c r="E93" t="s">
        <v>60</v>
      </c>
      <c r="F93" t="s">
        <v>15</v>
      </c>
      <c r="G93" t="str">
        <f>"U12"</f>
        <v>U12</v>
      </c>
      <c r="H93" t="str">
        <f>"-36"</f>
        <v>-36</v>
      </c>
      <c r="I93" t="str">
        <f>"0225770"</f>
        <v>0225770</v>
      </c>
      <c r="J93" t="str">
        <f>"Yes"</f>
        <v>Yes</v>
      </c>
      <c r="K93" t="str">
        <f>"Quebec"</f>
        <v>Quebec</v>
      </c>
      <c r="N93" t="s">
        <v>91</v>
      </c>
    </row>
    <row r="94" spans="1:14" hidden="1" x14ac:dyDescent="0.25">
      <c r="A94" t="str">
        <f>"Olivier"</f>
        <v>Olivier</v>
      </c>
      <c r="B94" t="str">
        <f>"Gaudreault"</f>
        <v>Gaudreault</v>
      </c>
      <c r="C94" t="str">
        <f>"Torii"</f>
        <v>Torii</v>
      </c>
      <c r="D94" t="str">
        <f>"M"</f>
        <v>M</v>
      </c>
      <c r="E94" t="s">
        <v>32</v>
      </c>
      <c r="F94" t="s">
        <v>33</v>
      </c>
      <c r="G94" t="str">
        <f>"U16"</f>
        <v>U16</v>
      </c>
      <c r="H94" t="str">
        <f>"-38"</f>
        <v>-38</v>
      </c>
      <c r="I94" t="str">
        <f>"0205909"</f>
        <v>0205909</v>
      </c>
      <c r="J94" t="str">
        <f>"Yes"</f>
        <v>Yes</v>
      </c>
      <c r="K94" t="str">
        <f>"Quebec"</f>
        <v>Quebec</v>
      </c>
      <c r="M94" t="str">
        <f>""</f>
        <v/>
      </c>
      <c r="N94" t="s">
        <v>112</v>
      </c>
    </row>
    <row r="95" spans="1:14" hidden="1" x14ac:dyDescent="0.25">
      <c r="A95" t="str">
        <f>"Hugo"</f>
        <v>Hugo</v>
      </c>
      <c r="B95" t="str">
        <f>"Levacher"</f>
        <v>Levacher</v>
      </c>
      <c r="C95" t="str">
        <f>"Torakai"</f>
        <v>Torakai</v>
      </c>
      <c r="D95" t="str">
        <f>"M"</f>
        <v>M</v>
      </c>
      <c r="E95" t="s">
        <v>32</v>
      </c>
      <c r="F95" t="s">
        <v>39</v>
      </c>
      <c r="G95" t="str">
        <f>"U16"</f>
        <v>U16</v>
      </c>
      <c r="H95" t="str">
        <f>"-38"</f>
        <v>-38</v>
      </c>
      <c r="I95" t="str">
        <f>"0199445"</f>
        <v>0199445</v>
      </c>
      <c r="J95" t="str">
        <f>"Yes"</f>
        <v>Yes</v>
      </c>
      <c r="K95" t="str">
        <f>"Quebec"</f>
        <v>Quebec</v>
      </c>
      <c r="M95" t="str">
        <f>""</f>
        <v/>
      </c>
      <c r="N95" t="s">
        <v>112</v>
      </c>
    </row>
    <row r="96" spans="1:14" hidden="1" x14ac:dyDescent="0.25">
      <c r="A96" t="s">
        <v>162</v>
      </c>
      <c r="B96" t="str">
        <f>"Nepton"</f>
        <v>Nepton</v>
      </c>
      <c r="C96" t="str">
        <f>"Judokas Jonquière"</f>
        <v>Judokas Jonquière</v>
      </c>
      <c r="D96" t="str">
        <f>"M"</f>
        <v>M</v>
      </c>
      <c r="E96" s="3">
        <v>2006</v>
      </c>
      <c r="F96" t="s">
        <v>107</v>
      </c>
      <c r="G96" t="str">
        <f>"U16"</f>
        <v>U16</v>
      </c>
      <c r="H96">
        <v>-38</v>
      </c>
      <c r="I96">
        <v>184297</v>
      </c>
      <c r="J96" t="str">
        <f>"Yes"</f>
        <v>Yes</v>
      </c>
      <c r="K96" t="str">
        <f>"Quebec"</f>
        <v>Quebec</v>
      </c>
      <c r="M96" t="s">
        <v>163</v>
      </c>
      <c r="N96" t="s">
        <v>112</v>
      </c>
    </row>
    <row r="97" spans="1:14" x14ac:dyDescent="0.25">
      <c r="A97" t="s">
        <v>164</v>
      </c>
      <c r="B97" t="s">
        <v>165</v>
      </c>
      <c r="C97" t="s">
        <v>166</v>
      </c>
      <c r="D97" t="s">
        <v>44</v>
      </c>
      <c r="E97" t="s">
        <v>24</v>
      </c>
      <c r="F97" t="s">
        <v>39</v>
      </c>
      <c r="G97" t="s">
        <v>25</v>
      </c>
      <c r="H97">
        <v>-44</v>
      </c>
      <c r="I97" t="s">
        <v>167</v>
      </c>
      <c r="J97" t="s">
        <v>46</v>
      </c>
      <c r="K97" t="s">
        <v>47</v>
      </c>
      <c r="M97" t="s">
        <v>168</v>
      </c>
      <c r="N97" t="s">
        <v>169</v>
      </c>
    </row>
    <row r="98" spans="1:14" hidden="1" x14ac:dyDescent="0.25">
      <c r="A98" t="str">
        <f>"Marie-Lune"</f>
        <v>Marie-Lune</v>
      </c>
      <c r="B98" t="str">
        <f>"Turmel"</f>
        <v>Turmel</v>
      </c>
      <c r="C98" t="str">
        <f>"Saint-Sauveur"</f>
        <v>Saint-Sauveur</v>
      </c>
      <c r="D98" t="str">
        <f>"F"</f>
        <v>F</v>
      </c>
      <c r="E98" t="s">
        <v>24</v>
      </c>
      <c r="F98" t="s">
        <v>18</v>
      </c>
      <c r="G98" t="s">
        <v>151</v>
      </c>
      <c r="H98" t="str">
        <f>"-40"</f>
        <v>-40</v>
      </c>
      <c r="I98" t="str">
        <f>"0197729"</f>
        <v>0197729</v>
      </c>
      <c r="J98" t="str">
        <f>"Yes"</f>
        <v>Yes</v>
      </c>
      <c r="K98" t="str">
        <f>"Quebec"</f>
        <v>Quebec</v>
      </c>
      <c r="M98" t="str">
        <f>"2 divisions : U16 + U18"</f>
        <v>2 divisions : U16 + U18</v>
      </c>
      <c r="N98" t="s">
        <v>153</v>
      </c>
    </row>
    <row r="99" spans="1:14" hidden="1" x14ac:dyDescent="0.25">
      <c r="A99" t="str">
        <f>"Sami"</f>
        <v>Sami</v>
      </c>
      <c r="B99" t="str">
        <f>"Bourihane"</f>
        <v>Bourihane</v>
      </c>
      <c r="C99" t="str">
        <f>"St-Leonard"</f>
        <v>St-Leonard</v>
      </c>
      <c r="D99" t="str">
        <f>"M"</f>
        <v>M</v>
      </c>
      <c r="E99" t="s">
        <v>21</v>
      </c>
      <c r="F99" t="s">
        <v>22</v>
      </c>
      <c r="G99" t="str">
        <f>"U12"</f>
        <v>U12</v>
      </c>
      <c r="H99" t="str">
        <f>"-36"</f>
        <v>-36</v>
      </c>
      <c r="I99" t="str">
        <f>"0207726"</f>
        <v>0207726</v>
      </c>
      <c r="J99" t="str">
        <f>"Yes"</f>
        <v>Yes</v>
      </c>
      <c r="K99" t="str">
        <f>"Quebec"</f>
        <v>Quebec</v>
      </c>
      <c r="M99" t="str">
        <f>""</f>
        <v/>
      </c>
      <c r="N99" t="s">
        <v>23</v>
      </c>
    </row>
    <row r="100" spans="1:14" hidden="1" x14ac:dyDescent="0.25">
      <c r="A100" t="str">
        <f>"Liana"</f>
        <v>Liana</v>
      </c>
      <c r="B100" t="str">
        <f>"Belanger"</f>
        <v>Belanger</v>
      </c>
      <c r="C100" t="str">
        <f>"Hontaï Dojo"</f>
        <v>Hontaï Dojo</v>
      </c>
      <c r="D100" t="str">
        <f>"F"</f>
        <v>F</v>
      </c>
      <c r="E100" t="s">
        <v>14</v>
      </c>
      <c r="F100" t="s">
        <v>90</v>
      </c>
      <c r="G100" t="str">
        <f>"U14"</f>
        <v>U14</v>
      </c>
      <c r="H100" t="str">
        <f>"-36"</f>
        <v>-36</v>
      </c>
      <c r="I100" t="str">
        <f>"0225858"</f>
        <v>0225858</v>
      </c>
      <c r="J100" t="str">
        <f>"Yes"</f>
        <v>Yes</v>
      </c>
      <c r="K100" t="str">
        <f>"Quebec"</f>
        <v>Quebec</v>
      </c>
      <c r="N100" t="s">
        <v>170</v>
      </c>
    </row>
    <row r="101" spans="1:14" x14ac:dyDescent="0.25">
      <c r="A101" t="str">
        <f>"Sarra"</f>
        <v>Sarra</v>
      </c>
      <c r="B101" t="str">
        <f>"Bourihane"</f>
        <v>Bourihane</v>
      </c>
      <c r="C101" t="str">
        <f>"St-Leonard"</f>
        <v>St-Leonard</v>
      </c>
      <c r="D101" t="str">
        <f>"F"</f>
        <v>F</v>
      </c>
      <c r="E101" t="s">
        <v>27</v>
      </c>
      <c r="F101" t="s">
        <v>33</v>
      </c>
      <c r="G101" t="str">
        <f>"U18"</f>
        <v>U18</v>
      </c>
      <c r="H101" t="str">
        <f>"-48"</f>
        <v>-48</v>
      </c>
      <c r="I101" t="str">
        <f>"0207729"</f>
        <v>0207729</v>
      </c>
      <c r="J101" t="str">
        <f>"Yes"</f>
        <v>Yes</v>
      </c>
      <c r="K101" t="str">
        <f>"Quebec"</f>
        <v>Quebec</v>
      </c>
      <c r="M101" t="str">
        <f>""</f>
        <v/>
      </c>
      <c r="N101" t="s">
        <v>171</v>
      </c>
    </row>
    <row r="102" spans="1:14" hidden="1" x14ac:dyDescent="0.25">
      <c r="A102" t="str">
        <f>"Alex"</f>
        <v>Alex</v>
      </c>
      <c r="B102" t="str">
        <f>"Ouellet"</f>
        <v>Ouellet</v>
      </c>
      <c r="C102" t="str">
        <f>"Albatros"</f>
        <v>Albatros</v>
      </c>
      <c r="D102" t="str">
        <f>"M"</f>
        <v>M</v>
      </c>
      <c r="E102" t="s">
        <v>14</v>
      </c>
      <c r="F102" t="s">
        <v>90</v>
      </c>
      <c r="G102" t="str">
        <f>"U14"</f>
        <v>U14</v>
      </c>
      <c r="H102" t="str">
        <f>"-31"</f>
        <v>-31</v>
      </c>
      <c r="I102" t="str">
        <f>"0206769"</f>
        <v>0206769</v>
      </c>
      <c r="J102" t="str">
        <f>"Yes"</f>
        <v>Yes</v>
      </c>
      <c r="K102" t="str">
        <f>"Quebec"</f>
        <v>Quebec</v>
      </c>
      <c r="N102" t="s">
        <v>89</v>
      </c>
    </row>
    <row r="103" spans="1:14" hidden="1" x14ac:dyDescent="0.25">
      <c r="A103" t="str">
        <f>"Jeanne"</f>
        <v>Jeanne</v>
      </c>
      <c r="B103" t="str">
        <f>"Forest"</f>
        <v>Forest</v>
      </c>
      <c r="C103" t="str">
        <f>"Kiseki Judo"</f>
        <v>Kiseki Judo</v>
      </c>
      <c r="D103" t="str">
        <f>"F"</f>
        <v>F</v>
      </c>
      <c r="E103" t="s">
        <v>14</v>
      </c>
      <c r="F103" t="s">
        <v>15</v>
      </c>
      <c r="G103" t="str">
        <f>"U14"</f>
        <v>U14</v>
      </c>
      <c r="H103" t="str">
        <f>"+63"</f>
        <v>+63</v>
      </c>
      <c r="I103" t="str">
        <f>"0410472"</f>
        <v>0410472</v>
      </c>
      <c r="J103" t="str">
        <f>"Yes"</f>
        <v>Yes</v>
      </c>
      <c r="K103" t="str">
        <f>"Quebec"</f>
        <v>Quebec</v>
      </c>
      <c r="M103" t="s">
        <v>116</v>
      </c>
      <c r="N103" t="s">
        <v>117</v>
      </c>
    </row>
    <row r="104" spans="1:14" hidden="1" x14ac:dyDescent="0.25">
      <c r="A104" t="str">
        <f>"Simon"</f>
        <v>Simon</v>
      </c>
      <c r="B104" t="str">
        <f>"Lachance"</f>
        <v>Lachance</v>
      </c>
      <c r="C104" t="str">
        <f>"Sept-Iles"</f>
        <v>Sept-Iles</v>
      </c>
      <c r="D104" t="str">
        <f>"M"</f>
        <v>M</v>
      </c>
      <c r="E104" t="s">
        <v>172</v>
      </c>
      <c r="F104" t="s">
        <v>18</v>
      </c>
      <c r="G104" t="str">
        <f>"Master"</f>
        <v>Master</v>
      </c>
      <c r="H104" t="str">
        <f>"-73"</f>
        <v>-73</v>
      </c>
      <c r="I104" t="str">
        <f>"0217206"</f>
        <v>0217206</v>
      </c>
      <c r="J104" t="str">
        <f>"Yes"</f>
        <v>Yes</v>
      </c>
      <c r="K104" t="str">
        <f>"Quebec"</f>
        <v>Quebec</v>
      </c>
      <c r="N104" t="s">
        <v>173</v>
      </c>
    </row>
    <row r="105" spans="1:14" hidden="1" x14ac:dyDescent="0.25">
      <c r="A105" t="str">
        <f>"Tristan"</f>
        <v>Tristan</v>
      </c>
      <c r="B105" t="str">
        <f>"Bourque"</f>
        <v>Bourque</v>
      </c>
      <c r="C105" t="str">
        <f>"Boucherville"</f>
        <v>Boucherville</v>
      </c>
      <c r="D105" t="str">
        <f>"M"</f>
        <v>M</v>
      </c>
      <c r="E105" t="s">
        <v>21</v>
      </c>
      <c r="F105" t="s">
        <v>90</v>
      </c>
      <c r="G105" t="str">
        <f>"U12"</f>
        <v>U12</v>
      </c>
      <c r="H105" t="str">
        <f>"-36"</f>
        <v>-36</v>
      </c>
      <c r="I105" t="str">
        <f>"0216860"</f>
        <v>0216860</v>
      </c>
      <c r="J105" t="str">
        <f>"Yes"</f>
        <v>Yes</v>
      </c>
      <c r="K105" t="str">
        <f>"Quebec"</f>
        <v>Quebec</v>
      </c>
      <c r="M105" t="str">
        <f>""</f>
        <v/>
      </c>
      <c r="N105" t="s">
        <v>23</v>
      </c>
    </row>
    <row r="106" spans="1:14" hidden="1" x14ac:dyDescent="0.25">
      <c r="A106" t="str">
        <f>"Lucas"</f>
        <v>Lucas</v>
      </c>
      <c r="B106" t="str">
        <f>"Gaspar Albuqurque"</f>
        <v>Gaspar Albuqurque</v>
      </c>
      <c r="C106" t="str">
        <f>"Shidokan"</f>
        <v>Shidokan</v>
      </c>
      <c r="D106" t="str">
        <f>"M"</f>
        <v>M</v>
      </c>
      <c r="E106" t="s">
        <v>32</v>
      </c>
      <c r="F106" t="s">
        <v>90</v>
      </c>
      <c r="G106" t="str">
        <f>"U16"</f>
        <v>U16</v>
      </c>
      <c r="H106" t="str">
        <f>"-42"</f>
        <v>-42</v>
      </c>
      <c r="I106" t="str">
        <f>"0214621"</f>
        <v>0214621</v>
      </c>
      <c r="J106" t="str">
        <f>"Yes"</f>
        <v>Yes</v>
      </c>
      <c r="K106" t="str">
        <f>"Quebec"</f>
        <v>Quebec</v>
      </c>
      <c r="M106" t="s">
        <v>19</v>
      </c>
      <c r="N106" t="s">
        <v>174</v>
      </c>
    </row>
    <row r="107" spans="1:14" hidden="1" x14ac:dyDescent="0.25">
      <c r="A107" t="str">
        <f>"Dellen"</f>
        <v>Dellen</v>
      </c>
      <c r="B107" t="str">
        <f>"Cauden"</f>
        <v>Cauden</v>
      </c>
      <c r="C107" t="str">
        <f>"Judosphère"</f>
        <v>Judosphère</v>
      </c>
      <c r="D107" t="str">
        <f>"F"</f>
        <v>F</v>
      </c>
      <c r="E107" t="s">
        <v>24</v>
      </c>
      <c r="F107" t="s">
        <v>39</v>
      </c>
      <c r="G107" t="s">
        <v>151</v>
      </c>
      <c r="H107" t="str">
        <f>"-44"</f>
        <v>-44</v>
      </c>
      <c r="I107" t="str">
        <f>"0214471"</f>
        <v>0214471</v>
      </c>
      <c r="J107" t="str">
        <f>"Yes"</f>
        <v>Yes</v>
      </c>
      <c r="K107" t="str">
        <f>"Quebec"</f>
        <v>Quebec</v>
      </c>
      <c r="M107" t="str">
        <f>"2 divisions : U16 + U18"</f>
        <v>2 divisions : U16 + U18</v>
      </c>
      <c r="N107" t="s">
        <v>175</v>
      </c>
    </row>
    <row r="108" spans="1:14" hidden="1" x14ac:dyDescent="0.25">
      <c r="A108" t="s">
        <v>176</v>
      </c>
      <c r="B108" t="s">
        <v>177</v>
      </c>
      <c r="C108" t="s">
        <v>59</v>
      </c>
      <c r="D108" t="s">
        <v>52</v>
      </c>
      <c r="E108" t="s">
        <v>60</v>
      </c>
      <c r="F108" t="s">
        <v>15</v>
      </c>
      <c r="G108" t="s">
        <v>61</v>
      </c>
      <c r="H108">
        <v>-30</v>
      </c>
      <c r="I108" t="s">
        <v>178</v>
      </c>
      <c r="J108" t="s">
        <v>46</v>
      </c>
      <c r="K108" t="s">
        <v>47</v>
      </c>
      <c r="N108" t="s">
        <v>23</v>
      </c>
    </row>
    <row r="109" spans="1:14" hidden="1" x14ac:dyDescent="0.25">
      <c r="A109" t="str">
        <f>"Adrian"</f>
        <v>Adrian</v>
      </c>
      <c r="B109" t="str">
        <f>"Andres"</f>
        <v>Andres</v>
      </c>
      <c r="C109" t="str">
        <f>"Judo Monde"</f>
        <v>Judo Monde</v>
      </c>
      <c r="D109" t="str">
        <f>"M"</f>
        <v>M</v>
      </c>
      <c r="E109" t="s">
        <v>32</v>
      </c>
      <c r="F109" t="s">
        <v>64</v>
      </c>
      <c r="G109" t="str">
        <f>"U16"</f>
        <v>U16</v>
      </c>
      <c r="H109" t="str">
        <f>"-42"</f>
        <v>-42</v>
      </c>
      <c r="I109" t="str">
        <f>"0211865"</f>
        <v>0211865</v>
      </c>
      <c r="J109" t="str">
        <f>"Yes"</f>
        <v>Yes</v>
      </c>
      <c r="K109" t="str">
        <f>"Quebec"</f>
        <v>Quebec</v>
      </c>
      <c r="N109" t="s">
        <v>179</v>
      </c>
    </row>
    <row r="110" spans="1:14" hidden="1" x14ac:dyDescent="0.25">
      <c r="A110" t="str">
        <f>"Rayane Adam"</f>
        <v>Rayane Adam</v>
      </c>
      <c r="B110" t="str">
        <f>"Snani"</f>
        <v>Snani</v>
      </c>
      <c r="C110" t="s">
        <v>180</v>
      </c>
      <c r="D110" t="str">
        <f>"M"</f>
        <v>M</v>
      </c>
      <c r="E110" t="s">
        <v>38</v>
      </c>
      <c r="F110" t="s">
        <v>37</v>
      </c>
      <c r="G110" t="str">
        <f>"U14"</f>
        <v>U14</v>
      </c>
      <c r="H110" t="str">
        <f>"-31"</f>
        <v>-31</v>
      </c>
      <c r="I110" t="str">
        <f>"0200801"</f>
        <v>0200801</v>
      </c>
      <c r="J110" t="str">
        <f>"Yes"</f>
        <v>Yes</v>
      </c>
      <c r="K110" t="str">
        <f>"Quebec"</f>
        <v>Quebec</v>
      </c>
      <c r="N110" t="s">
        <v>89</v>
      </c>
    </row>
    <row r="111" spans="1:14" hidden="1" x14ac:dyDescent="0.25">
      <c r="A111" t="str">
        <f>"Sara-Anne"</f>
        <v>Sara-Anne</v>
      </c>
      <c r="B111" t="str">
        <f>"Beaudin"</f>
        <v>Beaudin</v>
      </c>
      <c r="C111" t="str">
        <f>"Sept-Iles"</f>
        <v>Sept-Iles</v>
      </c>
      <c r="D111" t="str">
        <f>"F"</f>
        <v>F</v>
      </c>
      <c r="E111" t="s">
        <v>14</v>
      </c>
      <c r="F111" t="s">
        <v>39</v>
      </c>
      <c r="G111" t="str">
        <f>"U14"</f>
        <v>U14</v>
      </c>
      <c r="H111" t="str">
        <f>"-40"</f>
        <v>-40</v>
      </c>
      <c r="I111" t="str">
        <f>"0174376"</f>
        <v>0174376</v>
      </c>
      <c r="J111" t="str">
        <f>"Yes"</f>
        <v>Yes</v>
      </c>
      <c r="K111" t="str">
        <f>"Quebec"</f>
        <v>Quebec</v>
      </c>
      <c r="N111" t="s">
        <v>181</v>
      </c>
    </row>
    <row r="112" spans="1:14" hidden="1" x14ac:dyDescent="0.25">
      <c r="A112" t="str">
        <f>"Joey"</f>
        <v>Joey</v>
      </c>
      <c r="B112" t="str">
        <f>"Cote"</f>
        <v>Cote</v>
      </c>
      <c r="C112" t="str">
        <f>"Torakai"</f>
        <v>Torakai</v>
      </c>
      <c r="D112" t="str">
        <f>"M"</f>
        <v>M</v>
      </c>
      <c r="E112" t="s">
        <v>38</v>
      </c>
      <c r="F112" t="s">
        <v>64</v>
      </c>
      <c r="G112" t="str">
        <f>"U14"</f>
        <v>U14</v>
      </c>
      <c r="H112" t="str">
        <f>"-31"</f>
        <v>-31</v>
      </c>
      <c r="I112" t="str">
        <f>"0219250"</f>
        <v>0219250</v>
      </c>
      <c r="J112" t="str">
        <f>"Yes"</f>
        <v>Yes</v>
      </c>
      <c r="K112" t="str">
        <f>"Quebec"</f>
        <v>Quebec</v>
      </c>
      <c r="N112" t="s">
        <v>182</v>
      </c>
    </row>
    <row r="113" spans="1:14" x14ac:dyDescent="0.25">
      <c r="A113" t="s">
        <v>183</v>
      </c>
      <c r="B113" t="s">
        <v>184</v>
      </c>
      <c r="C113" t="s">
        <v>67</v>
      </c>
      <c r="D113" t="s">
        <v>52</v>
      </c>
      <c r="E113" t="s">
        <v>24</v>
      </c>
      <c r="F113" t="s">
        <v>107</v>
      </c>
      <c r="G113" t="s">
        <v>25</v>
      </c>
      <c r="H113">
        <v>-55</v>
      </c>
      <c r="I113" t="s">
        <v>185</v>
      </c>
      <c r="J113" t="s">
        <v>46</v>
      </c>
      <c r="K113" t="s">
        <v>47</v>
      </c>
      <c r="M113" t="s">
        <v>48</v>
      </c>
      <c r="N113" t="s">
        <v>101</v>
      </c>
    </row>
    <row r="114" spans="1:14" x14ac:dyDescent="0.25">
      <c r="A114" t="str">
        <f>"Eleonore"</f>
        <v>Eleonore</v>
      </c>
      <c r="B114" t="str">
        <f>"Cote"</f>
        <v>Cote</v>
      </c>
      <c r="C114" t="str">
        <f>"Beauport"</f>
        <v>Beauport</v>
      </c>
      <c r="D114" t="str">
        <f>"F"</f>
        <v>F</v>
      </c>
      <c r="E114" t="s">
        <v>17</v>
      </c>
      <c r="F114" t="s">
        <v>18</v>
      </c>
      <c r="G114" t="str">
        <f>"U18"</f>
        <v>U18</v>
      </c>
      <c r="H114" t="str">
        <f>"-48"</f>
        <v>-48</v>
      </c>
      <c r="I114" t="str">
        <f>"0189083"</f>
        <v>0189083</v>
      </c>
      <c r="J114" t="str">
        <f>"Yes"</f>
        <v>Yes</v>
      </c>
      <c r="K114" t="str">
        <f>"Quebec"</f>
        <v>Quebec</v>
      </c>
      <c r="M114" t="str">
        <f>""</f>
        <v/>
      </c>
      <c r="N114" t="s">
        <v>171</v>
      </c>
    </row>
    <row r="115" spans="1:14" hidden="1" x14ac:dyDescent="0.25">
      <c r="A115" t="str">
        <f>"Vincent"</f>
        <v>Vincent</v>
      </c>
      <c r="B115" t="str">
        <f>"Tremblay"</f>
        <v>Tremblay</v>
      </c>
      <c r="C115" t="str">
        <f>"Judokan Port Cartier"</f>
        <v>Judokan Port Cartier</v>
      </c>
      <c r="D115" t="str">
        <f>"M"</f>
        <v>M</v>
      </c>
      <c r="E115" t="s">
        <v>14</v>
      </c>
      <c r="F115" t="s">
        <v>39</v>
      </c>
      <c r="G115" t="str">
        <f>"U14"</f>
        <v>U14</v>
      </c>
      <c r="H115" t="str">
        <f>"-31"</f>
        <v>-31</v>
      </c>
      <c r="I115" t="str">
        <f>"0182682"</f>
        <v>0182682</v>
      </c>
      <c r="J115" t="str">
        <f>"Yes"</f>
        <v>Yes</v>
      </c>
      <c r="K115" t="str">
        <f>"Quebec"</f>
        <v>Quebec</v>
      </c>
      <c r="N115" t="s">
        <v>182</v>
      </c>
    </row>
    <row r="116" spans="1:14" hidden="1" x14ac:dyDescent="0.25">
      <c r="A116" t="str">
        <f>"Davon"</f>
        <v>Davon</v>
      </c>
      <c r="B116" t="str">
        <f>"Charbonneau"</f>
        <v>Charbonneau</v>
      </c>
      <c r="C116" t="str">
        <f>"Zenshin"</f>
        <v>Zenshin</v>
      </c>
      <c r="D116" t="str">
        <f>"M"</f>
        <v>M</v>
      </c>
      <c r="E116" t="s">
        <v>32</v>
      </c>
      <c r="F116" t="s">
        <v>64</v>
      </c>
      <c r="G116" t="str">
        <f>"U16"</f>
        <v>U16</v>
      </c>
      <c r="H116" t="str">
        <f>"-42"</f>
        <v>-42</v>
      </c>
      <c r="I116" t="str">
        <f>"0233361"</f>
        <v>0233361</v>
      </c>
      <c r="J116" t="str">
        <f>"Yes"</f>
        <v>Yes</v>
      </c>
      <c r="K116" t="str">
        <f>"Quebec"</f>
        <v>Quebec</v>
      </c>
      <c r="N116" t="s">
        <v>179</v>
      </c>
    </row>
    <row r="117" spans="1:14" hidden="1" x14ac:dyDescent="0.25">
      <c r="A117" t="str">
        <f>"Xavier"</f>
        <v>Xavier</v>
      </c>
      <c r="B117" t="str">
        <f>"Brouillette"</f>
        <v>Brouillette</v>
      </c>
      <c r="C117" t="str">
        <f>"Seïkidokan"</f>
        <v>Seïkidokan</v>
      </c>
      <c r="D117" t="str">
        <f>"M"</f>
        <v>M</v>
      </c>
      <c r="E117" t="s">
        <v>21</v>
      </c>
      <c r="F117" t="s">
        <v>90</v>
      </c>
      <c r="G117" t="str">
        <f>"U12"</f>
        <v>U12</v>
      </c>
      <c r="H117" t="str">
        <f>"-33"</f>
        <v>-33</v>
      </c>
      <c r="I117" t="str">
        <f>"0196964"</f>
        <v>0196964</v>
      </c>
      <c r="J117" t="str">
        <f>"Yes"</f>
        <v>Yes</v>
      </c>
      <c r="K117" t="str">
        <f>"Quebec"</f>
        <v>Quebec</v>
      </c>
      <c r="M117" t="str">
        <f>""</f>
        <v/>
      </c>
      <c r="N117" t="s">
        <v>23</v>
      </c>
    </row>
    <row r="118" spans="1:14" hidden="1" x14ac:dyDescent="0.25">
      <c r="A118" t="str">
        <f>"Zakaria"</f>
        <v>Zakaria</v>
      </c>
      <c r="B118" t="str">
        <f>"Djeraba"</f>
        <v>Djeraba</v>
      </c>
      <c r="C118" t="s">
        <v>99</v>
      </c>
      <c r="D118" t="str">
        <f>"M"</f>
        <v>M</v>
      </c>
      <c r="E118" t="s">
        <v>32</v>
      </c>
      <c r="F118" t="s">
        <v>64</v>
      </c>
      <c r="G118" t="str">
        <f>"U16"</f>
        <v>U16</v>
      </c>
      <c r="H118" t="str">
        <f>"-42"</f>
        <v>-42</v>
      </c>
      <c r="I118" t="str">
        <f>"0197657"</f>
        <v>0197657</v>
      </c>
      <c r="J118" t="str">
        <f>"Yes"</f>
        <v>Yes</v>
      </c>
      <c r="K118" t="str">
        <f>"Quebec"</f>
        <v>Quebec</v>
      </c>
      <c r="N118" t="s">
        <v>179</v>
      </c>
    </row>
    <row r="119" spans="1:14" x14ac:dyDescent="0.25">
      <c r="A119" t="str">
        <f>"Ulysse"</f>
        <v>Ulysse</v>
      </c>
      <c r="B119" t="str">
        <f>"McKay"</f>
        <v>McKay</v>
      </c>
      <c r="C119" t="str">
        <f>"Univestrie/donini"</f>
        <v>Univestrie/donini</v>
      </c>
      <c r="D119" t="str">
        <f>"M"</f>
        <v>M</v>
      </c>
      <c r="E119" t="s">
        <v>27</v>
      </c>
      <c r="F119" t="s">
        <v>33</v>
      </c>
      <c r="G119" t="str">
        <f>"U18"</f>
        <v>U18</v>
      </c>
      <c r="H119" t="str">
        <f>"-55"</f>
        <v>-55</v>
      </c>
      <c r="I119" t="str">
        <f>"0200631"</f>
        <v>0200631</v>
      </c>
      <c r="J119" t="str">
        <f>"Yes"</f>
        <v>Yes</v>
      </c>
      <c r="K119" t="str">
        <f>"Quebec"</f>
        <v>Quebec</v>
      </c>
      <c r="M119" t="str">
        <f>""</f>
        <v/>
      </c>
      <c r="N119" t="s">
        <v>101</v>
      </c>
    </row>
    <row r="120" spans="1:14" hidden="1" x14ac:dyDescent="0.25">
      <c r="A120" t="str">
        <f>"Katelin"</f>
        <v>Katelin</v>
      </c>
      <c r="B120" t="str">
        <f>"Bryan"</f>
        <v>Bryan</v>
      </c>
      <c r="C120" t="str">
        <f>"CMR Saint-Jean"</f>
        <v>CMR Saint-Jean</v>
      </c>
      <c r="D120" t="str">
        <f>"F"</f>
        <v>F</v>
      </c>
      <c r="E120" t="s">
        <v>71</v>
      </c>
      <c r="F120" t="s">
        <v>64</v>
      </c>
      <c r="G120" t="str">
        <f>"U21/Senior Mudansha"</f>
        <v>U21/Senior Mudansha</v>
      </c>
      <c r="H120" t="str">
        <f>"-70"</f>
        <v>-70</v>
      </c>
      <c r="I120" t="str">
        <f>"0222809"</f>
        <v>0222809</v>
      </c>
      <c r="J120" t="str">
        <f>"Yes"</f>
        <v>Yes</v>
      </c>
      <c r="K120" t="str">
        <f>"Quebec"</f>
        <v>Quebec</v>
      </c>
      <c r="N120" s="2" t="s">
        <v>186</v>
      </c>
    </row>
    <row r="121" spans="1:14" hidden="1" x14ac:dyDescent="0.25">
      <c r="A121" t="str">
        <f>"William"</f>
        <v>William</v>
      </c>
      <c r="B121" t="str">
        <f>"Dominique"</f>
        <v>Dominique</v>
      </c>
      <c r="C121" t="str">
        <f>"Zenshin"</f>
        <v>Zenshin</v>
      </c>
      <c r="D121" t="str">
        <f>"M"</f>
        <v>M</v>
      </c>
      <c r="E121" t="s">
        <v>32</v>
      </c>
      <c r="F121" t="s">
        <v>64</v>
      </c>
      <c r="G121" t="str">
        <f>"U16"</f>
        <v>U16</v>
      </c>
      <c r="H121" t="str">
        <f>"-42"</f>
        <v>-42</v>
      </c>
      <c r="I121" t="str">
        <f>"0206360"</f>
        <v>0206360</v>
      </c>
      <c r="J121" t="str">
        <f>"Yes"</f>
        <v>Yes</v>
      </c>
      <c r="K121" t="str">
        <f>"Quebec"</f>
        <v>Quebec</v>
      </c>
      <c r="M121" t="str">
        <f>""</f>
        <v/>
      </c>
      <c r="N121" t="s">
        <v>179</v>
      </c>
    </row>
    <row r="122" spans="1:14" hidden="1" x14ac:dyDescent="0.25">
      <c r="A122" t="str">
        <f>"Antoine"</f>
        <v>Antoine</v>
      </c>
      <c r="B122" t="str">
        <f>"Fortin"</f>
        <v>Fortin</v>
      </c>
      <c r="C122" t="str">
        <f>"Albatros"</f>
        <v>Albatros</v>
      </c>
      <c r="D122" t="str">
        <f>"M"</f>
        <v>M</v>
      </c>
      <c r="E122" t="s">
        <v>24</v>
      </c>
      <c r="F122" t="s">
        <v>64</v>
      </c>
      <c r="G122" t="str">
        <f>"U16"</f>
        <v>U16</v>
      </c>
      <c r="H122" t="str">
        <f>"-42"</f>
        <v>-42</v>
      </c>
      <c r="I122" t="str">
        <f>"0196149"</f>
        <v>0196149</v>
      </c>
      <c r="J122" t="str">
        <f>"Yes"</f>
        <v>Yes</v>
      </c>
      <c r="K122" t="str">
        <f>"Quebec"</f>
        <v>Quebec</v>
      </c>
      <c r="N122" t="s">
        <v>179</v>
      </c>
    </row>
    <row r="123" spans="1:14" hidden="1" x14ac:dyDescent="0.25">
      <c r="A123" t="s">
        <v>187</v>
      </c>
      <c r="B123" t="s">
        <v>188</v>
      </c>
      <c r="C123" t="s">
        <v>189</v>
      </c>
      <c r="D123" t="s">
        <v>44</v>
      </c>
      <c r="E123" t="s">
        <v>29</v>
      </c>
      <c r="F123" t="s">
        <v>30</v>
      </c>
      <c r="G123" t="s">
        <v>85</v>
      </c>
      <c r="H123" s="1">
        <v>-48</v>
      </c>
      <c r="I123" t="s">
        <v>190</v>
      </c>
      <c r="J123" t="s">
        <v>46</v>
      </c>
      <c r="K123" t="s">
        <v>47</v>
      </c>
      <c r="M123" t="s">
        <v>191</v>
      </c>
      <c r="N123" t="s">
        <v>133</v>
      </c>
    </row>
    <row r="124" spans="1:14" hidden="1" x14ac:dyDescent="0.25">
      <c r="A124" t="str">
        <f>"Léa"</f>
        <v>Léa</v>
      </c>
      <c r="B124" t="str">
        <f>"Roy"</f>
        <v>Roy</v>
      </c>
      <c r="C124" t="str">
        <f>"Asbestos-Danville"</f>
        <v>Asbestos-Danville</v>
      </c>
      <c r="D124" t="str">
        <f>"F"</f>
        <v>F</v>
      </c>
      <c r="E124" t="s">
        <v>29</v>
      </c>
      <c r="F124" t="s">
        <v>30</v>
      </c>
      <c r="G124" t="s">
        <v>72</v>
      </c>
      <c r="H124" t="str">
        <f>"-48"</f>
        <v>-48</v>
      </c>
      <c r="I124" t="str">
        <f>"0143531"</f>
        <v>0143531</v>
      </c>
      <c r="J124" t="str">
        <f>"Yes"</f>
        <v>Yes</v>
      </c>
      <c r="K124" t="str">
        <f>"Quebec"</f>
        <v>Quebec</v>
      </c>
      <c r="M124" t="str">
        <f>"2 divisions : U21/Senior B + Senior A"</f>
        <v>2 divisions : U21/Senior B + Senior A</v>
      </c>
      <c r="N124" t="s">
        <v>192</v>
      </c>
    </row>
    <row r="125" spans="1:14" hidden="1" x14ac:dyDescent="0.25">
      <c r="A125" t="str">
        <f>"Oceane"</f>
        <v>Oceane</v>
      </c>
      <c r="B125" t="str">
        <f>"Dube"</f>
        <v>Dube</v>
      </c>
      <c r="C125" t="s">
        <v>124</v>
      </c>
      <c r="D125" t="str">
        <f>"F"</f>
        <v>F</v>
      </c>
      <c r="E125" t="s">
        <v>32</v>
      </c>
      <c r="F125" t="s">
        <v>64</v>
      </c>
      <c r="G125" t="str">
        <f>"U16"</f>
        <v>U16</v>
      </c>
      <c r="H125" t="str">
        <f>"-44"</f>
        <v>-44</v>
      </c>
      <c r="I125" t="str">
        <f>"0200520"</f>
        <v>0200520</v>
      </c>
      <c r="J125" t="str">
        <f>"Yes"</f>
        <v>Yes</v>
      </c>
      <c r="K125" t="str">
        <f>"Quebec"</f>
        <v>Quebec</v>
      </c>
      <c r="N125" t="s">
        <v>175</v>
      </c>
    </row>
    <row r="126" spans="1:14" hidden="1" x14ac:dyDescent="0.25">
      <c r="A126" t="str">
        <f>"Liam"</f>
        <v>Liam</v>
      </c>
      <c r="B126" t="str">
        <f>"Cantin"</f>
        <v>Cantin</v>
      </c>
      <c r="C126" t="str">
        <f>"Sept-Iles"</f>
        <v>Sept-Iles</v>
      </c>
      <c r="D126" t="str">
        <f>"M"</f>
        <v>M</v>
      </c>
      <c r="E126" t="s">
        <v>60</v>
      </c>
      <c r="F126" t="s">
        <v>64</v>
      </c>
      <c r="G126" t="str">
        <f>"U12"</f>
        <v>U12</v>
      </c>
      <c r="H126" t="str">
        <f>"-27"</f>
        <v>-27</v>
      </c>
      <c r="I126" t="str">
        <f>"0198177"</f>
        <v>0198177</v>
      </c>
      <c r="J126" t="str">
        <f>"Yes"</f>
        <v>Yes</v>
      </c>
      <c r="K126" t="str">
        <f>"Quebec"</f>
        <v>Quebec</v>
      </c>
      <c r="N126" t="s">
        <v>23</v>
      </c>
    </row>
    <row r="127" spans="1:14" hidden="1" x14ac:dyDescent="0.25">
      <c r="A127" t="str">
        <f>"Felix"</f>
        <v>Felix</v>
      </c>
      <c r="B127" t="str">
        <f>"Canuel"</f>
        <v>Canuel</v>
      </c>
      <c r="C127" t="str">
        <f>"Rikidokan"</f>
        <v>Rikidokan</v>
      </c>
      <c r="D127" t="str">
        <f>"M"</f>
        <v>M</v>
      </c>
      <c r="E127" t="s">
        <v>21</v>
      </c>
      <c r="F127" t="s">
        <v>90</v>
      </c>
      <c r="G127" t="str">
        <f>"U12"</f>
        <v>U12</v>
      </c>
      <c r="H127" t="str">
        <f>"-42"</f>
        <v>-42</v>
      </c>
      <c r="I127" t="str">
        <f>"0205806"</f>
        <v>0205806</v>
      </c>
      <c r="J127" t="str">
        <f>"Yes"</f>
        <v>Yes</v>
      </c>
      <c r="K127" t="str">
        <f>"Quebec"</f>
        <v>Quebec</v>
      </c>
      <c r="N127" t="s">
        <v>23</v>
      </c>
    </row>
    <row r="128" spans="1:14" hidden="1" x14ac:dyDescent="0.25">
      <c r="A128" t="str">
        <f>"Thomas"</f>
        <v>Thomas</v>
      </c>
      <c r="B128" t="str">
        <f>"Henin"</f>
        <v>Henin</v>
      </c>
      <c r="C128" t="str">
        <f>"Kime-Waza  Joliette"</f>
        <v>Kime-Waza  Joliette</v>
      </c>
      <c r="D128" t="str">
        <f>"M"</f>
        <v>M</v>
      </c>
      <c r="E128" t="s">
        <v>27</v>
      </c>
      <c r="F128" t="s">
        <v>39</v>
      </c>
      <c r="G128" t="s">
        <v>53</v>
      </c>
      <c r="H128" t="str">
        <f>"-73"</f>
        <v>-73</v>
      </c>
      <c r="I128" t="str">
        <f>"0171969"</f>
        <v>0171969</v>
      </c>
      <c r="J128" t="str">
        <f>"Yes"</f>
        <v>Yes</v>
      </c>
      <c r="K128" t="str">
        <f>"Quebec"</f>
        <v>Quebec</v>
      </c>
      <c r="M128" t="s">
        <v>193</v>
      </c>
      <c r="N128" t="s">
        <v>83</v>
      </c>
    </row>
    <row r="129" spans="1:14" hidden="1" x14ac:dyDescent="0.25">
      <c r="A129" t="str">
        <f>"Matis"</f>
        <v>Matis</v>
      </c>
      <c r="B129" t="str">
        <f>"Ganet"</f>
        <v>Ganet</v>
      </c>
      <c r="C129" t="s">
        <v>43</v>
      </c>
      <c r="D129" t="str">
        <f>"M"</f>
        <v>M</v>
      </c>
      <c r="E129" t="s">
        <v>32</v>
      </c>
      <c r="F129" t="s">
        <v>18</v>
      </c>
      <c r="G129" t="str">
        <f>"U16"</f>
        <v>U16</v>
      </c>
      <c r="H129" t="str">
        <f>"-42"</f>
        <v>-42</v>
      </c>
      <c r="I129" t="str">
        <f>"0229648"</f>
        <v>0229648</v>
      </c>
      <c r="J129" t="str">
        <f>"Yes"</f>
        <v>Yes</v>
      </c>
      <c r="K129" t="str">
        <f>"Quebec"</f>
        <v>Quebec</v>
      </c>
      <c r="M129" t="str">
        <f>""</f>
        <v/>
      </c>
      <c r="N129" t="s">
        <v>179</v>
      </c>
    </row>
    <row r="130" spans="1:14" x14ac:dyDescent="0.25">
      <c r="A130" t="str">
        <f>"John"</f>
        <v>John</v>
      </c>
      <c r="B130" t="str">
        <f>"Abraini"</f>
        <v>Abraini</v>
      </c>
      <c r="C130" t="str">
        <f>"Vieille Capitale"</f>
        <v>Vieille Capitale</v>
      </c>
      <c r="D130" t="str">
        <f>"M"</f>
        <v>M</v>
      </c>
      <c r="E130" t="s">
        <v>27</v>
      </c>
      <c r="F130" t="s">
        <v>18</v>
      </c>
      <c r="G130" t="str">
        <f>"U18"</f>
        <v>U18</v>
      </c>
      <c r="H130" t="str">
        <f>"-60"</f>
        <v>-60</v>
      </c>
      <c r="I130" t="str">
        <f>"0176332"</f>
        <v>0176332</v>
      </c>
      <c r="J130" t="str">
        <f>"Yes"</f>
        <v>Yes</v>
      </c>
      <c r="K130" t="str">
        <f>"Quebec"</f>
        <v>Quebec</v>
      </c>
      <c r="M130" t="str">
        <f>""</f>
        <v/>
      </c>
      <c r="N130" t="s">
        <v>194</v>
      </c>
    </row>
    <row r="131" spans="1:14" hidden="1" x14ac:dyDescent="0.25">
      <c r="A131" t="str">
        <f>"Lisande"</f>
        <v>Lisande</v>
      </c>
      <c r="B131" t="str">
        <f>"Masse"</f>
        <v>Masse</v>
      </c>
      <c r="C131" t="str">
        <f>"Judo Monde"</f>
        <v>Judo Monde</v>
      </c>
      <c r="D131" t="str">
        <f>"F"</f>
        <v>F</v>
      </c>
      <c r="E131" t="s">
        <v>14</v>
      </c>
      <c r="F131" t="s">
        <v>15</v>
      </c>
      <c r="G131" t="str">
        <f>"U14"</f>
        <v>U14</v>
      </c>
      <c r="H131" t="str">
        <f>"-36"</f>
        <v>-36</v>
      </c>
      <c r="I131" t="str">
        <f>"0223779"</f>
        <v>0223779</v>
      </c>
      <c r="J131" t="str">
        <f>"Yes"</f>
        <v>Yes</v>
      </c>
      <c r="K131" t="str">
        <f>"Quebec"</f>
        <v>Quebec</v>
      </c>
      <c r="N131" t="s">
        <v>170</v>
      </c>
    </row>
    <row r="132" spans="1:14" hidden="1" x14ac:dyDescent="0.25">
      <c r="A132" t="str">
        <f>"Danill"</f>
        <v>Danill</v>
      </c>
      <c r="B132" t="str">
        <f>"Kremerman"</f>
        <v>Kremerman</v>
      </c>
      <c r="C132" t="str">
        <f>"Sport Ippon"</f>
        <v>Sport Ippon</v>
      </c>
      <c r="D132" t="str">
        <f>"M"</f>
        <v>M</v>
      </c>
      <c r="E132" t="s">
        <v>32</v>
      </c>
      <c r="F132" t="s">
        <v>39</v>
      </c>
      <c r="G132" t="str">
        <f>"U16"</f>
        <v>U16</v>
      </c>
      <c r="H132" t="str">
        <f>"-42"</f>
        <v>-42</v>
      </c>
      <c r="I132" t="str">
        <f>"0168611"</f>
        <v>0168611</v>
      </c>
      <c r="J132" t="str">
        <f>"Yes"</f>
        <v>Yes</v>
      </c>
      <c r="K132" t="str">
        <f>"Quebec"</f>
        <v>Quebec</v>
      </c>
      <c r="N132" t="s">
        <v>179</v>
      </c>
    </row>
    <row r="133" spans="1:14" hidden="1" x14ac:dyDescent="0.25">
      <c r="A133" t="str">
        <f>"Thomas"</f>
        <v>Thomas</v>
      </c>
      <c r="B133" t="str">
        <f>"Escolar"</f>
        <v>Escolar</v>
      </c>
      <c r="C133" t="str">
        <f>"Shidokan"</f>
        <v>Shidokan</v>
      </c>
      <c r="D133" t="str">
        <f>"M"</f>
        <v>M</v>
      </c>
      <c r="E133" t="s">
        <v>71</v>
      </c>
      <c r="F133" t="s">
        <v>30</v>
      </c>
      <c r="G133" t="str">
        <f>"U21/Senior B"</f>
        <v>U21/Senior B</v>
      </c>
      <c r="H133" t="str">
        <f>"-60"</f>
        <v>-60</v>
      </c>
      <c r="I133" t="str">
        <f>"0183051"</f>
        <v>0183051</v>
      </c>
      <c r="J133" t="str">
        <f>"Yes"</f>
        <v>Yes</v>
      </c>
      <c r="K133" t="str">
        <f>"Quebec"</f>
        <v>Quebec</v>
      </c>
      <c r="N133" t="s">
        <v>159</v>
      </c>
    </row>
    <row r="134" spans="1:14" hidden="1" x14ac:dyDescent="0.25">
      <c r="A134" t="str">
        <f>"Jacques"</f>
        <v>Jacques</v>
      </c>
      <c r="B134" t="str">
        <f>"Mmbodo"</f>
        <v>Mmbodo</v>
      </c>
      <c r="C134" t="str">
        <f>"Lévis"</f>
        <v>Lévis</v>
      </c>
      <c r="D134" t="str">
        <f>"M"</f>
        <v>M</v>
      </c>
      <c r="E134" t="s">
        <v>195</v>
      </c>
      <c r="F134" t="s">
        <v>37</v>
      </c>
      <c r="G134" s="4" t="s">
        <v>196</v>
      </c>
      <c r="H134" t="str">
        <f>"-100"</f>
        <v>-100</v>
      </c>
      <c r="I134" t="str">
        <f>"0240538"</f>
        <v>0240538</v>
      </c>
      <c r="J134" t="str">
        <f>"Yes"</f>
        <v>Yes</v>
      </c>
      <c r="K134" t="str">
        <f>"Quebec"</f>
        <v>Quebec</v>
      </c>
      <c r="M134" t="s">
        <v>197</v>
      </c>
      <c r="N134" t="s">
        <v>198</v>
      </c>
    </row>
    <row r="135" spans="1:14" hidden="1" x14ac:dyDescent="0.25">
      <c r="A135" t="str">
        <f>"Marie-Laurence"</f>
        <v>Marie-Laurence</v>
      </c>
      <c r="B135" t="str">
        <f>"Beaudin"</f>
        <v>Beaudin</v>
      </c>
      <c r="C135" t="str">
        <f>"Sept-Iles"</f>
        <v>Sept-Iles</v>
      </c>
      <c r="D135" t="str">
        <f>"F"</f>
        <v>F</v>
      </c>
      <c r="E135" t="s">
        <v>14</v>
      </c>
      <c r="F135" t="s">
        <v>39</v>
      </c>
      <c r="G135" t="str">
        <f>"U14"</f>
        <v>U14</v>
      </c>
      <c r="H135" t="str">
        <f>"-40"</f>
        <v>-40</v>
      </c>
      <c r="I135" t="str">
        <f>"0178996"</f>
        <v>0178996</v>
      </c>
      <c r="J135" t="str">
        <f>"Yes"</f>
        <v>Yes</v>
      </c>
      <c r="K135" t="str">
        <f>"Quebec"</f>
        <v>Quebec</v>
      </c>
      <c r="N135" t="s">
        <v>181</v>
      </c>
    </row>
    <row r="136" spans="1:14" hidden="1" x14ac:dyDescent="0.25">
      <c r="A136" t="str">
        <f>"Antoine"</f>
        <v>Antoine</v>
      </c>
      <c r="B136" t="str">
        <f>"Brabants"</f>
        <v>Brabants</v>
      </c>
      <c r="C136" t="str">
        <f>"Haut-Richelieu"</f>
        <v>Haut-Richelieu</v>
      </c>
      <c r="D136" t="str">
        <f>"M"</f>
        <v>M</v>
      </c>
      <c r="E136" t="s">
        <v>14</v>
      </c>
      <c r="F136" t="s">
        <v>37</v>
      </c>
      <c r="G136" t="str">
        <f>"U14"</f>
        <v>U14</v>
      </c>
      <c r="H136" t="str">
        <f>"-34"</f>
        <v>-34</v>
      </c>
      <c r="I136" t="str">
        <f>"0231736"</f>
        <v>0231736</v>
      </c>
      <c r="J136" t="str">
        <f>"Yes"</f>
        <v>Yes</v>
      </c>
      <c r="K136" t="str">
        <f>"Quebec"</f>
        <v>Quebec</v>
      </c>
      <c r="N136" t="s">
        <v>199</v>
      </c>
    </row>
    <row r="137" spans="1:14" hidden="1" x14ac:dyDescent="0.25">
      <c r="A137" t="str">
        <f>"Leanne"</f>
        <v>Leanne</v>
      </c>
      <c r="B137" t="str">
        <f>"Dussault"</f>
        <v>Dussault</v>
      </c>
      <c r="C137" t="str">
        <f>"Asbestos-Danville"</f>
        <v>Asbestos-Danville</v>
      </c>
      <c r="D137" t="str">
        <f>"F"</f>
        <v>F</v>
      </c>
      <c r="E137" s="3" t="s">
        <v>38</v>
      </c>
      <c r="F137" t="s">
        <v>64</v>
      </c>
      <c r="G137" t="s">
        <v>151</v>
      </c>
      <c r="H137" t="str">
        <f>"-44"</f>
        <v>-44</v>
      </c>
      <c r="I137" t="str">
        <f>"0189104"</f>
        <v>0189104</v>
      </c>
      <c r="J137" t="str">
        <f>"Yes"</f>
        <v>Yes</v>
      </c>
      <c r="K137" t="str">
        <f>"Quebec"</f>
        <v>Quebec</v>
      </c>
      <c r="M137" t="s">
        <v>163</v>
      </c>
      <c r="N137" t="s">
        <v>175</v>
      </c>
    </row>
    <row r="138" spans="1:14" x14ac:dyDescent="0.25">
      <c r="A138" t="s">
        <v>200</v>
      </c>
      <c r="B138" t="s">
        <v>201</v>
      </c>
      <c r="C138" t="s">
        <v>202</v>
      </c>
      <c r="D138" t="s">
        <v>44</v>
      </c>
      <c r="E138" t="s">
        <v>24</v>
      </c>
      <c r="F138" t="s">
        <v>18</v>
      </c>
      <c r="G138" t="s">
        <v>25</v>
      </c>
      <c r="H138">
        <v>-48</v>
      </c>
      <c r="I138" t="s">
        <v>203</v>
      </c>
      <c r="J138" t="s">
        <v>46</v>
      </c>
      <c r="K138" t="s">
        <v>47</v>
      </c>
      <c r="M138" t="s">
        <v>48</v>
      </c>
      <c r="N138" t="s">
        <v>171</v>
      </c>
    </row>
    <row r="139" spans="1:14" hidden="1" x14ac:dyDescent="0.25">
      <c r="A139" t="s">
        <v>204</v>
      </c>
      <c r="B139" t="s">
        <v>205</v>
      </c>
      <c r="C139" t="s">
        <v>28</v>
      </c>
      <c r="D139" t="s">
        <v>52</v>
      </c>
      <c r="E139" t="s">
        <v>71</v>
      </c>
      <c r="F139" t="s">
        <v>30</v>
      </c>
      <c r="G139" t="s">
        <v>85</v>
      </c>
      <c r="H139" s="1">
        <v>-60</v>
      </c>
      <c r="I139" t="s">
        <v>206</v>
      </c>
      <c r="J139" t="s">
        <v>46</v>
      </c>
      <c r="K139" t="s">
        <v>47</v>
      </c>
      <c r="M139" t="s">
        <v>157</v>
      </c>
      <c r="N139" t="s">
        <v>158</v>
      </c>
    </row>
    <row r="140" spans="1:14" hidden="1" x14ac:dyDescent="0.25">
      <c r="A140" t="str">
        <f>"Naomie"</f>
        <v>Naomie</v>
      </c>
      <c r="B140" t="str">
        <f>"Gagnon"</f>
        <v>Gagnon</v>
      </c>
      <c r="C140" t="str">
        <f>"Sept-Iles"</f>
        <v>Sept-Iles</v>
      </c>
      <c r="D140" t="str">
        <f>"F"</f>
        <v>F</v>
      </c>
      <c r="E140" t="s">
        <v>32</v>
      </c>
      <c r="F140" t="s">
        <v>39</v>
      </c>
      <c r="G140" t="str">
        <f>"U16"</f>
        <v>U16</v>
      </c>
      <c r="H140" t="str">
        <f>"-44"</f>
        <v>-44</v>
      </c>
      <c r="I140" t="str">
        <f>"0162639"</f>
        <v>0162639</v>
      </c>
      <c r="J140" t="str">
        <f>"Yes"</f>
        <v>Yes</v>
      </c>
      <c r="K140" t="str">
        <f>"Quebec"</f>
        <v>Quebec</v>
      </c>
      <c r="N140" t="s">
        <v>175</v>
      </c>
    </row>
    <row r="141" spans="1:14" hidden="1" x14ac:dyDescent="0.25">
      <c r="A141" t="str">
        <f>"Loïc"</f>
        <v>Loïc</v>
      </c>
      <c r="B141" t="str">
        <f>"Imbert"</f>
        <v>Imbert</v>
      </c>
      <c r="C141" t="str">
        <f>"Judo Monde"</f>
        <v>Judo Monde</v>
      </c>
      <c r="D141" t="str">
        <f>"M"</f>
        <v>M</v>
      </c>
      <c r="E141" t="s">
        <v>207</v>
      </c>
      <c r="F141" t="s">
        <v>132</v>
      </c>
      <c r="G141" t="str">
        <f>"U21/Senior B"</f>
        <v>U21/Senior B</v>
      </c>
      <c r="H141" t="str">
        <f>"-60"</f>
        <v>-60</v>
      </c>
      <c r="I141" t="str">
        <f>"0092698"</f>
        <v>0092698</v>
      </c>
      <c r="J141" t="str">
        <f>"Yes"</f>
        <v>Yes</v>
      </c>
      <c r="K141" t="str">
        <f>"Quebec"</f>
        <v>Quebec</v>
      </c>
      <c r="N141" t="s">
        <v>159</v>
      </c>
    </row>
    <row r="142" spans="1:14" hidden="1" x14ac:dyDescent="0.25">
      <c r="A142" t="str">
        <f>"Mathias"</f>
        <v>Mathias</v>
      </c>
      <c r="B142" t="str">
        <f>"Chaput"</f>
        <v>Chaput</v>
      </c>
      <c r="C142" t="str">
        <f>"Varennes"</f>
        <v>Varennes</v>
      </c>
      <c r="D142" t="str">
        <f>"M"</f>
        <v>M</v>
      </c>
      <c r="E142" t="s">
        <v>21</v>
      </c>
      <c r="F142" t="s">
        <v>15</v>
      </c>
      <c r="G142" t="str">
        <f>"U12"</f>
        <v>U12</v>
      </c>
      <c r="H142" t="str">
        <f>"-33"</f>
        <v>-33</v>
      </c>
      <c r="I142" t="str">
        <f>"0414480"</f>
        <v>0414480</v>
      </c>
      <c r="J142" t="str">
        <f>"Yes"</f>
        <v>Yes</v>
      </c>
      <c r="K142" t="str">
        <f>"Quebec"</f>
        <v>Quebec</v>
      </c>
      <c r="M142" t="str">
        <f>""</f>
        <v/>
      </c>
      <c r="N142" t="s">
        <v>23</v>
      </c>
    </row>
    <row r="143" spans="1:14" hidden="1" x14ac:dyDescent="0.25">
      <c r="A143" t="str">
        <f>"Neisha"</f>
        <v>Neisha</v>
      </c>
      <c r="B143" t="str">
        <f>"Casimir-Longfils"</f>
        <v>Casimir-Longfils</v>
      </c>
      <c r="C143" t="str">
        <f>"St-Paul l'Ermite"</f>
        <v>St-Paul l'Ermite</v>
      </c>
      <c r="D143" t="str">
        <f>"F"</f>
        <v>F</v>
      </c>
      <c r="E143" t="s">
        <v>38</v>
      </c>
      <c r="F143" t="s">
        <v>64</v>
      </c>
      <c r="G143" t="str">
        <f>"U14"</f>
        <v>U14</v>
      </c>
      <c r="H143" t="str">
        <f>"-44"</f>
        <v>-44</v>
      </c>
      <c r="I143" t="str">
        <f>"0217799"</f>
        <v>0217799</v>
      </c>
      <c r="J143" t="str">
        <f>"Yes"</f>
        <v>Yes</v>
      </c>
      <c r="K143" t="str">
        <f>"Quebec"</f>
        <v>Quebec</v>
      </c>
      <c r="N143" t="s">
        <v>208</v>
      </c>
    </row>
    <row r="144" spans="1:14" hidden="1" x14ac:dyDescent="0.25">
      <c r="A144" t="str">
        <f>"Mohammed Aymen"</f>
        <v>Mohammed Aymen</v>
      </c>
      <c r="B144" t="str">
        <f>"Laouedj"</f>
        <v>Laouedj</v>
      </c>
      <c r="C144" t="str">
        <f>"Budokan Saint-Laurent"</f>
        <v>Budokan Saint-Laurent</v>
      </c>
      <c r="D144" t="str">
        <f>"M"</f>
        <v>M</v>
      </c>
      <c r="E144" t="s">
        <v>32</v>
      </c>
      <c r="F144" t="s">
        <v>64</v>
      </c>
      <c r="G144" t="str">
        <f>"U16"</f>
        <v>U16</v>
      </c>
      <c r="H144" t="str">
        <f>"-42"</f>
        <v>-42</v>
      </c>
      <c r="I144" t="str">
        <f>"0222447"</f>
        <v>0222447</v>
      </c>
      <c r="J144" t="str">
        <f>"Yes"</f>
        <v>Yes</v>
      </c>
      <c r="K144" t="str">
        <f>"Quebec"</f>
        <v>Quebec</v>
      </c>
      <c r="N144" t="s">
        <v>179</v>
      </c>
    </row>
    <row r="145" spans="1:14" hidden="1" x14ac:dyDescent="0.25">
      <c r="A145" t="str">
        <f>"Kamil Mohamed"</f>
        <v>Kamil Mohamed</v>
      </c>
      <c r="B145" t="str">
        <f>"Ouali"</f>
        <v>Ouali</v>
      </c>
      <c r="C145" t="str">
        <f>"St-Leonard"</f>
        <v>St-Leonard</v>
      </c>
      <c r="D145" t="str">
        <f>"M"</f>
        <v>M</v>
      </c>
      <c r="E145" t="s">
        <v>32</v>
      </c>
      <c r="F145" t="s">
        <v>64</v>
      </c>
      <c r="G145" t="str">
        <f>"U16"</f>
        <v>U16</v>
      </c>
      <c r="H145" t="str">
        <f>"-42"</f>
        <v>-42</v>
      </c>
      <c r="I145" t="str">
        <f>"0407151"</f>
        <v>0407151</v>
      </c>
      <c r="J145" t="str">
        <f>"Yes"</f>
        <v>Yes</v>
      </c>
      <c r="K145" t="str">
        <f>"Quebec"</f>
        <v>Quebec</v>
      </c>
      <c r="M145" t="str">
        <f>""</f>
        <v/>
      </c>
      <c r="N145" t="s">
        <v>179</v>
      </c>
    </row>
    <row r="146" spans="1:14" hidden="1" x14ac:dyDescent="0.25">
      <c r="A146" t="str">
        <f>"Marielle"</f>
        <v>Marielle</v>
      </c>
      <c r="B146" t="str">
        <f>"Charneau"</f>
        <v>Charneau</v>
      </c>
      <c r="C146" t="str">
        <f>"St-Paul l'Ermite"</f>
        <v>St-Paul l'Ermite</v>
      </c>
      <c r="D146" t="str">
        <f>"F"</f>
        <v>F</v>
      </c>
      <c r="E146" t="s">
        <v>21</v>
      </c>
      <c r="F146" t="s">
        <v>37</v>
      </c>
      <c r="G146" t="str">
        <f>"U12"</f>
        <v>U12</v>
      </c>
      <c r="H146" t="str">
        <f>"-27"</f>
        <v>-27</v>
      </c>
      <c r="I146" t="str">
        <f>"0217809"</f>
        <v>0217809</v>
      </c>
      <c r="J146" t="str">
        <f>"Yes"</f>
        <v>Yes</v>
      </c>
      <c r="K146" t="str">
        <f>"Quebec"</f>
        <v>Quebec</v>
      </c>
      <c r="N146" t="s">
        <v>91</v>
      </c>
    </row>
    <row r="147" spans="1:14" hidden="1" x14ac:dyDescent="0.25">
      <c r="A147" t="str">
        <f>"Alaa"</f>
        <v>Alaa</v>
      </c>
      <c r="B147" t="str">
        <f>"Snani"</f>
        <v>Snani</v>
      </c>
      <c r="C147" t="s">
        <v>180</v>
      </c>
      <c r="D147" t="str">
        <f>"F"</f>
        <v>F</v>
      </c>
      <c r="E147" t="s">
        <v>32</v>
      </c>
      <c r="F147" t="s">
        <v>64</v>
      </c>
      <c r="G147" t="str">
        <f>"U16"</f>
        <v>U16</v>
      </c>
      <c r="H147" t="str">
        <f>"-44"</f>
        <v>-44</v>
      </c>
      <c r="I147" t="str">
        <f>"0239626"</f>
        <v>0239626</v>
      </c>
      <c r="J147" t="str">
        <f>"Yes"</f>
        <v>Yes</v>
      </c>
      <c r="K147" t="str">
        <f>"Quebec"</f>
        <v>Quebec</v>
      </c>
      <c r="N147" t="s">
        <v>175</v>
      </c>
    </row>
    <row r="148" spans="1:14" x14ac:dyDescent="0.25">
      <c r="A148" t="str">
        <f>"Mathilde"</f>
        <v>Mathilde</v>
      </c>
      <c r="B148" t="str">
        <f>"Simard-Lejuene"</f>
        <v>Simard-Lejuene</v>
      </c>
      <c r="C148" t="str">
        <f>"Seiko"</f>
        <v>Seiko</v>
      </c>
      <c r="D148" t="str">
        <f>"F"</f>
        <v>F</v>
      </c>
      <c r="E148" t="s">
        <v>24</v>
      </c>
      <c r="F148" t="s">
        <v>18</v>
      </c>
      <c r="G148" t="s">
        <v>25</v>
      </c>
      <c r="H148" t="str">
        <f>"-48"</f>
        <v>-48</v>
      </c>
      <c r="I148" t="str">
        <f>"0200069"</f>
        <v>0200069</v>
      </c>
      <c r="J148" t="str">
        <f>"Yes"</f>
        <v>Yes</v>
      </c>
      <c r="K148" t="str">
        <f>"Quebec"</f>
        <v>Quebec</v>
      </c>
      <c r="M148" t="str">
        <f>"2 divisions : U16 + U18"</f>
        <v>2 divisions : U16 + U18</v>
      </c>
      <c r="N148" t="s">
        <v>171</v>
      </c>
    </row>
    <row r="149" spans="1:14" hidden="1" x14ac:dyDescent="0.25">
      <c r="A149" t="str">
        <f>"Tenzin"</f>
        <v>Tenzin</v>
      </c>
      <c r="B149" t="str">
        <f>"Dunlevy"</f>
        <v>Dunlevy</v>
      </c>
      <c r="C149" t="str">
        <f>"Bushidokan"</f>
        <v>Bushidokan</v>
      </c>
      <c r="D149" t="str">
        <f>"M"</f>
        <v>M</v>
      </c>
      <c r="E149" t="s">
        <v>14</v>
      </c>
      <c r="F149" t="s">
        <v>37</v>
      </c>
      <c r="G149" t="str">
        <f>"U14"</f>
        <v>U14</v>
      </c>
      <c r="H149" t="str">
        <f>"-34"</f>
        <v>-34</v>
      </c>
      <c r="I149" t="str">
        <f>"0200924"</f>
        <v>0200924</v>
      </c>
      <c r="J149" t="str">
        <f>"Yes"</f>
        <v>Yes</v>
      </c>
      <c r="K149" t="str">
        <f>"Quebec"</f>
        <v>Quebec</v>
      </c>
      <c r="N149" t="s">
        <v>199</v>
      </c>
    </row>
    <row r="150" spans="1:14" hidden="1" x14ac:dyDescent="0.25">
      <c r="A150" t="str">
        <f>"Edouard"</f>
        <v>Edouard</v>
      </c>
      <c r="B150" t="str">
        <f>"Chasse"</f>
        <v>Chasse</v>
      </c>
      <c r="C150" t="str">
        <f>"Torakai"</f>
        <v>Torakai</v>
      </c>
      <c r="D150" t="str">
        <f>"M"</f>
        <v>M</v>
      </c>
      <c r="E150" t="s">
        <v>60</v>
      </c>
      <c r="F150" t="s">
        <v>22</v>
      </c>
      <c r="G150" t="str">
        <f>"U12"</f>
        <v>U12</v>
      </c>
      <c r="H150" t="str">
        <f>"-33"</f>
        <v>-33</v>
      </c>
      <c r="I150" t="str">
        <f>"0224630"</f>
        <v>0224630</v>
      </c>
      <c r="J150" t="str">
        <f>"Yes"</f>
        <v>Yes</v>
      </c>
      <c r="K150" t="str">
        <f>"Quebec"</f>
        <v>Quebec</v>
      </c>
      <c r="M150" t="str">
        <f>""</f>
        <v/>
      </c>
      <c r="N150" t="s">
        <v>23</v>
      </c>
    </row>
    <row r="151" spans="1:14" hidden="1" x14ac:dyDescent="0.25">
      <c r="A151" t="str">
        <f>"Elie"</f>
        <v>Elie</v>
      </c>
      <c r="B151" t="str">
        <f>"Francoeur-Cote"</f>
        <v>Francoeur-Cote</v>
      </c>
      <c r="C151" t="str">
        <f>"Judo-Tech"</f>
        <v>Judo-Tech</v>
      </c>
      <c r="D151" t="str">
        <f>"M"</f>
        <v>M</v>
      </c>
      <c r="E151" t="s">
        <v>14</v>
      </c>
      <c r="F151" t="s">
        <v>37</v>
      </c>
      <c r="G151" t="str">
        <f>"U14"</f>
        <v>U14</v>
      </c>
      <c r="H151" t="str">
        <f>"-34"</f>
        <v>-34</v>
      </c>
      <c r="I151" t="str">
        <f>"0199914"</f>
        <v>0199914</v>
      </c>
      <c r="J151" t="str">
        <f>"Yes"</f>
        <v>Yes</v>
      </c>
      <c r="K151" t="str">
        <f>"Quebec"</f>
        <v>Quebec</v>
      </c>
      <c r="N151" t="s">
        <v>199</v>
      </c>
    </row>
    <row r="152" spans="1:14" hidden="1" x14ac:dyDescent="0.25">
      <c r="A152" t="str">
        <f>"Adam"</f>
        <v>Adam</v>
      </c>
      <c r="B152" t="str">
        <f>"Nuara"</f>
        <v>Nuara</v>
      </c>
      <c r="C152" t="str">
        <f>"Shidokan"</f>
        <v>Shidokan</v>
      </c>
      <c r="D152" t="str">
        <f>"M"</f>
        <v>M</v>
      </c>
      <c r="E152" t="s">
        <v>71</v>
      </c>
      <c r="F152" t="s">
        <v>30</v>
      </c>
      <c r="G152" t="s">
        <v>72</v>
      </c>
      <c r="H152" t="str">
        <f>"-60"</f>
        <v>-60</v>
      </c>
      <c r="I152" t="str">
        <f>"0152845"</f>
        <v>0152845</v>
      </c>
      <c r="J152" t="str">
        <f>"Yes"</f>
        <v>Yes</v>
      </c>
      <c r="K152" t="str">
        <f>"Quebec"</f>
        <v>Quebec</v>
      </c>
      <c r="M152" t="str">
        <f>"2 divisions : U21/Senior B + Senior A"</f>
        <v>2 divisions : U21/Senior B + Senior A</v>
      </c>
      <c r="N152" t="s">
        <v>159</v>
      </c>
    </row>
    <row r="153" spans="1:14" hidden="1" x14ac:dyDescent="0.25">
      <c r="A153" t="str">
        <f>"Philippe"</f>
        <v>Philippe</v>
      </c>
      <c r="B153" t="str">
        <f>"Garon"</f>
        <v>Garon</v>
      </c>
      <c r="C153" t="str">
        <f>"Rikidokan"</f>
        <v>Rikidokan</v>
      </c>
      <c r="D153" t="str">
        <f>"M"</f>
        <v>M</v>
      </c>
      <c r="E153" t="s">
        <v>14</v>
      </c>
      <c r="F153" t="s">
        <v>37</v>
      </c>
      <c r="G153" t="str">
        <f>"U14"</f>
        <v>U14</v>
      </c>
      <c r="H153" t="str">
        <f>"-34"</f>
        <v>-34</v>
      </c>
      <c r="I153" t="str">
        <f>"0230057"</f>
        <v>0230057</v>
      </c>
      <c r="J153" t="str">
        <f>"Yes"</f>
        <v>Yes</v>
      </c>
      <c r="K153" t="str">
        <f>"Quebec"</f>
        <v>Quebec</v>
      </c>
      <c r="N153" t="s">
        <v>199</v>
      </c>
    </row>
    <row r="154" spans="1:14" hidden="1" x14ac:dyDescent="0.25">
      <c r="A154" t="str">
        <f>"Vincent"</f>
        <v>Vincent</v>
      </c>
      <c r="B154" t="str">
        <f>"Chiasson"</f>
        <v>Chiasson</v>
      </c>
      <c r="C154" t="str">
        <f>"Judo-Tech"</f>
        <v>Judo-Tech</v>
      </c>
      <c r="D154" t="str">
        <f>"M"</f>
        <v>M</v>
      </c>
      <c r="E154" t="s">
        <v>21</v>
      </c>
      <c r="F154" t="s">
        <v>37</v>
      </c>
      <c r="G154" t="str">
        <f>"U12"</f>
        <v>U12</v>
      </c>
      <c r="H154" t="str">
        <f>"-60"</f>
        <v>-60</v>
      </c>
      <c r="I154" t="str">
        <f>"0213288"</f>
        <v>0213288</v>
      </c>
      <c r="J154" t="str">
        <f>"Yes"</f>
        <v>Yes</v>
      </c>
      <c r="K154" t="str">
        <f>"Quebec"</f>
        <v>Quebec</v>
      </c>
      <c r="N154" t="s">
        <v>23</v>
      </c>
    </row>
    <row r="155" spans="1:14" hidden="1" x14ac:dyDescent="0.25">
      <c r="A155" t="str">
        <f>"Lucas"</f>
        <v>Lucas</v>
      </c>
      <c r="B155" t="str">
        <f>"Gauthier"</f>
        <v>Gauthier</v>
      </c>
      <c r="C155" t="str">
        <f>"Sept-Iles"</f>
        <v>Sept-Iles</v>
      </c>
      <c r="D155" t="str">
        <f>"M"</f>
        <v>M</v>
      </c>
      <c r="E155" t="s">
        <v>14</v>
      </c>
      <c r="F155" t="s">
        <v>90</v>
      </c>
      <c r="G155" t="str">
        <f>"U14"</f>
        <v>U14</v>
      </c>
      <c r="H155" t="str">
        <f>"-34"</f>
        <v>-34</v>
      </c>
      <c r="I155" t="str">
        <f>"0209288"</f>
        <v>0209288</v>
      </c>
      <c r="J155" t="str">
        <f>"Yes"</f>
        <v>Yes</v>
      </c>
      <c r="K155" t="str">
        <f>"Quebec"</f>
        <v>Quebec</v>
      </c>
      <c r="N155" t="s">
        <v>199</v>
      </c>
    </row>
    <row r="156" spans="1:14" hidden="1" x14ac:dyDescent="0.25">
      <c r="A156" t="str">
        <f>"Michael"</f>
        <v>Michael</v>
      </c>
      <c r="B156" t="str">
        <f>"Cloutier"</f>
        <v>Cloutier</v>
      </c>
      <c r="C156" t="str">
        <f>"Shidokan"</f>
        <v>Shidokan</v>
      </c>
      <c r="D156" t="str">
        <f>"M"</f>
        <v>M</v>
      </c>
      <c r="E156" t="s">
        <v>60</v>
      </c>
      <c r="F156" t="s">
        <v>22</v>
      </c>
      <c r="G156" t="str">
        <f>"U12"</f>
        <v>U12</v>
      </c>
      <c r="H156" t="str">
        <f>"-33"</f>
        <v>-33</v>
      </c>
      <c r="I156" t="str">
        <f>"0225171"</f>
        <v>0225171</v>
      </c>
      <c r="J156" t="str">
        <f>"Yes"</f>
        <v>Yes</v>
      </c>
      <c r="K156" t="str">
        <f>"Quebec"</f>
        <v>Quebec</v>
      </c>
      <c r="N156" t="s">
        <v>23</v>
      </c>
    </row>
    <row r="157" spans="1:14" x14ac:dyDescent="0.25">
      <c r="A157" t="str">
        <f>"Beatrice"</f>
        <v>Beatrice</v>
      </c>
      <c r="B157" t="str">
        <f>"Turcotte"</f>
        <v>Turcotte</v>
      </c>
      <c r="C157" t="str">
        <f>"Varennes"</f>
        <v>Varennes</v>
      </c>
      <c r="D157" t="str">
        <f>"F"</f>
        <v>F</v>
      </c>
      <c r="E157" t="s">
        <v>27</v>
      </c>
      <c r="F157" t="s">
        <v>18</v>
      </c>
      <c r="G157" t="s">
        <v>25</v>
      </c>
      <c r="H157" t="str">
        <f>"-48"</f>
        <v>-48</v>
      </c>
      <c r="I157" t="str">
        <f>"0202799"</f>
        <v>0202799</v>
      </c>
      <c r="J157" t="str">
        <f>"Yes"</f>
        <v>Yes</v>
      </c>
      <c r="K157" t="str">
        <f>"Quebec"</f>
        <v>Quebec</v>
      </c>
      <c r="M157" t="str">
        <f>"2 divisions : U18 + U21/Sénior B"</f>
        <v>2 divisions : U18 + U21/Sénior B</v>
      </c>
      <c r="N157" t="s">
        <v>171</v>
      </c>
    </row>
    <row r="158" spans="1:14" hidden="1" x14ac:dyDescent="0.25">
      <c r="A158" t="s">
        <v>209</v>
      </c>
      <c r="B158" t="s">
        <v>210</v>
      </c>
      <c r="C158" t="s">
        <v>211</v>
      </c>
      <c r="D158" t="s">
        <v>44</v>
      </c>
      <c r="E158" t="s">
        <v>27</v>
      </c>
      <c r="F158" t="s">
        <v>18</v>
      </c>
      <c r="G158" t="s">
        <v>72</v>
      </c>
      <c r="H158">
        <v>-48</v>
      </c>
      <c r="I158" t="s">
        <v>212</v>
      </c>
      <c r="J158" t="s">
        <v>46</v>
      </c>
      <c r="K158" t="s">
        <v>47</v>
      </c>
      <c r="M158" t="s">
        <v>35</v>
      </c>
      <c r="N158" t="s">
        <v>192</v>
      </c>
    </row>
    <row r="159" spans="1:14" hidden="1" x14ac:dyDescent="0.25">
      <c r="A159" t="str">
        <f>"Arnaud"</f>
        <v>Arnaud</v>
      </c>
      <c r="B159" t="str">
        <f>"Milord-Nadon"</f>
        <v>Milord-Nadon</v>
      </c>
      <c r="C159" t="s">
        <v>213</v>
      </c>
      <c r="D159" t="str">
        <f>"M"</f>
        <v>M</v>
      </c>
      <c r="E159" t="s">
        <v>160</v>
      </c>
      <c r="F159" t="s">
        <v>18</v>
      </c>
      <c r="G159" t="str">
        <f>"Master"</f>
        <v>Master</v>
      </c>
      <c r="H159" t="str">
        <f>"-81"</f>
        <v>-81</v>
      </c>
      <c r="I159" t="str">
        <f>"0012112"</f>
        <v>0012112</v>
      </c>
      <c r="J159" t="str">
        <f>"Yes"</f>
        <v>Yes</v>
      </c>
      <c r="K159" t="str">
        <f>"Quebec"</f>
        <v>Quebec</v>
      </c>
      <c r="N159" t="s">
        <v>214</v>
      </c>
    </row>
    <row r="160" spans="1:14" hidden="1" x14ac:dyDescent="0.25">
      <c r="A160" t="str">
        <f>"Ines"</f>
        <v>Ines</v>
      </c>
      <c r="B160" t="str">
        <f>"Da Costa Correia"</f>
        <v>Da Costa Correia</v>
      </c>
      <c r="C160" t="str">
        <f>"Boucherville"</f>
        <v>Boucherville</v>
      </c>
      <c r="D160" t="str">
        <f>"F"</f>
        <v>F</v>
      </c>
      <c r="E160" t="s">
        <v>32</v>
      </c>
      <c r="F160" t="s">
        <v>64</v>
      </c>
      <c r="G160" t="str">
        <f>"U16"</f>
        <v>U16</v>
      </c>
      <c r="H160" t="str">
        <f>"-48"</f>
        <v>-48</v>
      </c>
      <c r="I160" t="str">
        <f>"0214039"</f>
        <v>0214039</v>
      </c>
      <c r="J160" t="str">
        <f>"Yes"</f>
        <v>Yes</v>
      </c>
      <c r="K160" t="str">
        <f>"Quebec"</f>
        <v>Quebec</v>
      </c>
      <c r="M160" t="str">
        <f>""</f>
        <v/>
      </c>
      <c r="N160" t="s">
        <v>215</v>
      </c>
    </row>
    <row r="161" spans="1:14" hidden="1" x14ac:dyDescent="0.25">
      <c r="A161" t="str">
        <f>"Elie"</f>
        <v>Elie</v>
      </c>
      <c r="B161" t="str">
        <f>"Girard"</f>
        <v>Girard</v>
      </c>
      <c r="C161" t="str">
        <f>"St-Paul l'Ermite"</f>
        <v>St-Paul l'Ermite</v>
      </c>
      <c r="D161" t="str">
        <f>"M"</f>
        <v>M</v>
      </c>
      <c r="E161" t="s">
        <v>14</v>
      </c>
      <c r="F161" t="s">
        <v>90</v>
      </c>
      <c r="G161" t="str">
        <f>"U14"</f>
        <v>U14</v>
      </c>
      <c r="H161" t="str">
        <f>"-34"</f>
        <v>-34</v>
      </c>
      <c r="I161" t="str">
        <f>"0203672"</f>
        <v>0203672</v>
      </c>
      <c r="J161" t="str">
        <f>"Yes"</f>
        <v>Yes</v>
      </c>
      <c r="K161" t="str">
        <f>"Quebec"</f>
        <v>Quebec</v>
      </c>
      <c r="N161" t="s">
        <v>199</v>
      </c>
    </row>
    <row r="162" spans="1:14" hidden="1" x14ac:dyDescent="0.25">
      <c r="A162" t="str">
        <f>"Aurelie"</f>
        <v>Aurelie</v>
      </c>
      <c r="B162" t="str">
        <f>"Cote"</f>
        <v>Cote</v>
      </c>
      <c r="C162" t="str">
        <f>"Judokas Jonquière"</f>
        <v>Judokas Jonquière</v>
      </c>
      <c r="D162" t="str">
        <f>"F"</f>
        <v>F</v>
      </c>
      <c r="E162" t="s">
        <v>38</v>
      </c>
      <c r="F162" t="s">
        <v>33</v>
      </c>
      <c r="G162" t="str">
        <f>"U14"</f>
        <v>U14</v>
      </c>
      <c r="H162" t="str">
        <f>"-44"</f>
        <v>-44</v>
      </c>
      <c r="I162" t="str">
        <f>"0192133"</f>
        <v>0192133</v>
      </c>
      <c r="J162" t="str">
        <f>"Yes"</f>
        <v>Yes</v>
      </c>
      <c r="K162" t="str">
        <f>"Quebec"</f>
        <v>Quebec</v>
      </c>
      <c r="N162" t="s">
        <v>208</v>
      </c>
    </row>
    <row r="163" spans="1:14" hidden="1" x14ac:dyDescent="0.25">
      <c r="A163" t="str">
        <f>"Arthur"</f>
        <v>Arthur</v>
      </c>
      <c r="B163" t="str">
        <f>"Levesque"</f>
        <v>Levesque</v>
      </c>
      <c r="C163" t="str">
        <f>"Bushidokan"</f>
        <v>Bushidokan</v>
      </c>
      <c r="D163" t="str">
        <f>"M"</f>
        <v>M</v>
      </c>
      <c r="E163" t="s">
        <v>14</v>
      </c>
      <c r="F163" t="s">
        <v>90</v>
      </c>
      <c r="G163" t="str">
        <f>"U14"</f>
        <v>U14</v>
      </c>
      <c r="H163" t="str">
        <f>"-34"</f>
        <v>-34</v>
      </c>
      <c r="I163" t="str">
        <f>"0188621"</f>
        <v>0188621</v>
      </c>
      <c r="J163" t="str">
        <f>"Yes"</f>
        <v>Yes</v>
      </c>
      <c r="K163" t="str">
        <f>"Quebec"</f>
        <v>Quebec</v>
      </c>
      <c r="N163" t="s">
        <v>199</v>
      </c>
    </row>
    <row r="164" spans="1:14" x14ac:dyDescent="0.25">
      <c r="A164" t="str">
        <f>"Anabelle"</f>
        <v>Anabelle</v>
      </c>
      <c r="B164" t="str">
        <f>"Cloutier"</f>
        <v>Cloutier</v>
      </c>
      <c r="C164" t="str">
        <f>"Shidokan"</f>
        <v>Shidokan</v>
      </c>
      <c r="D164" t="str">
        <f>"F"</f>
        <v>F</v>
      </c>
      <c r="E164" t="s">
        <v>17</v>
      </c>
      <c r="F164" t="s">
        <v>216</v>
      </c>
      <c r="G164" t="s">
        <v>25</v>
      </c>
      <c r="H164" t="str">
        <f>"-52"</f>
        <v>-52</v>
      </c>
      <c r="I164" t="str">
        <f>"0173224"</f>
        <v>0173224</v>
      </c>
      <c r="J164" t="str">
        <f>"Yes"</f>
        <v>Yes</v>
      </c>
      <c r="K164" t="str">
        <f>"Quebec"</f>
        <v>Quebec</v>
      </c>
      <c r="M164" t="str">
        <f>"2 divisions : U18 + U21/Sénior B"</f>
        <v>2 divisions : U18 + U21/Sénior B</v>
      </c>
      <c r="N164" t="s">
        <v>217</v>
      </c>
    </row>
    <row r="165" spans="1:14" hidden="1" x14ac:dyDescent="0.25">
      <c r="A165" t="str">
        <f>"Alexandrine"</f>
        <v>Alexandrine</v>
      </c>
      <c r="B165" t="str">
        <f>"Cotte"</f>
        <v>Cotte</v>
      </c>
      <c r="C165" t="str">
        <f>"Sept-Iles"</f>
        <v>Sept-Iles</v>
      </c>
      <c r="D165" t="str">
        <f>"F"</f>
        <v>F</v>
      </c>
      <c r="E165" t="s">
        <v>21</v>
      </c>
      <c r="F165" t="s">
        <v>64</v>
      </c>
      <c r="G165" t="str">
        <f>"U12"</f>
        <v>U12</v>
      </c>
      <c r="H165" t="str">
        <f>"-45"</f>
        <v>-45</v>
      </c>
      <c r="I165" t="str">
        <f>"0217143"</f>
        <v>0217143</v>
      </c>
      <c r="J165" t="str">
        <f>"Yes"</f>
        <v>Yes</v>
      </c>
      <c r="K165" t="str">
        <f>"Quebec"</f>
        <v>Quebec</v>
      </c>
      <c r="N165" t="s">
        <v>91</v>
      </c>
    </row>
    <row r="166" spans="1:14" hidden="1" x14ac:dyDescent="0.25">
      <c r="A166" t="str">
        <f>"Alex"</f>
        <v>Alex</v>
      </c>
      <c r="B166" t="str">
        <f>"Maltais"</f>
        <v>Maltais</v>
      </c>
      <c r="C166" t="str">
        <f>"Institut Judo Chicoutimi"</f>
        <v>Institut Judo Chicoutimi</v>
      </c>
      <c r="D166" t="str">
        <f>"M"</f>
        <v>M</v>
      </c>
      <c r="E166" t="s">
        <v>14</v>
      </c>
      <c r="F166" t="s">
        <v>37</v>
      </c>
      <c r="G166" t="str">
        <f>"U14"</f>
        <v>U14</v>
      </c>
      <c r="H166" t="str">
        <f>"-34"</f>
        <v>-34</v>
      </c>
      <c r="I166" t="str">
        <f>"0207548"</f>
        <v>0207548</v>
      </c>
      <c r="J166" t="str">
        <f>"Yes"</f>
        <v>Yes</v>
      </c>
      <c r="K166" t="str">
        <f>"Quebec"</f>
        <v>Quebec</v>
      </c>
      <c r="N166" t="s">
        <v>199</v>
      </c>
    </row>
    <row r="167" spans="1:14" hidden="1" x14ac:dyDescent="0.25">
      <c r="A167" t="s">
        <v>218</v>
      </c>
      <c r="B167" t="s">
        <v>219</v>
      </c>
      <c r="C167" t="s">
        <v>119</v>
      </c>
      <c r="D167" t="s">
        <v>52</v>
      </c>
      <c r="E167" t="s">
        <v>71</v>
      </c>
      <c r="F167" t="s">
        <v>30</v>
      </c>
      <c r="G167" t="s">
        <v>85</v>
      </c>
      <c r="H167" s="1">
        <v>-60</v>
      </c>
      <c r="I167" t="s">
        <v>220</v>
      </c>
      <c r="J167" t="s">
        <v>46</v>
      </c>
      <c r="K167" t="s">
        <v>47</v>
      </c>
      <c r="M167" t="s">
        <v>157</v>
      </c>
      <c r="N167" t="s">
        <v>158</v>
      </c>
    </row>
    <row r="168" spans="1:14" hidden="1" x14ac:dyDescent="0.25">
      <c r="A168" t="str">
        <f>"Charlotte"</f>
        <v>Charlotte</v>
      </c>
      <c r="B168" t="str">
        <f>"Coulombe"</f>
        <v>Coulombe</v>
      </c>
      <c r="C168" t="str">
        <f>"Judokas Jonquière"</f>
        <v>Judokas Jonquière</v>
      </c>
      <c r="D168" t="str">
        <f>"F"</f>
        <v>F</v>
      </c>
      <c r="E168" t="s">
        <v>21</v>
      </c>
      <c r="F168" t="s">
        <v>15</v>
      </c>
      <c r="G168" t="str">
        <f>"U12"</f>
        <v>U12</v>
      </c>
      <c r="H168" t="str">
        <f>"-39"</f>
        <v>-39</v>
      </c>
      <c r="I168" t="str">
        <f>"0237204"</f>
        <v>0237204</v>
      </c>
      <c r="J168" t="str">
        <f>"Yes"</f>
        <v>Yes</v>
      </c>
      <c r="K168" t="str">
        <f>"Quebec"</f>
        <v>Quebec</v>
      </c>
      <c r="N168" t="s">
        <v>91</v>
      </c>
    </row>
    <row r="169" spans="1:14" x14ac:dyDescent="0.25">
      <c r="A169" t="str">
        <f>"Félix"</f>
        <v>Félix</v>
      </c>
      <c r="B169" t="str">
        <f>"Desnoyers"</f>
        <v>Desnoyers</v>
      </c>
      <c r="C169" t="str">
        <f>"Saint-Hyacinthe"</f>
        <v>Saint-Hyacinthe</v>
      </c>
      <c r="D169" t="str">
        <f>"M"</f>
        <v>M</v>
      </c>
      <c r="E169" t="s">
        <v>17</v>
      </c>
      <c r="F169" t="s">
        <v>18</v>
      </c>
      <c r="G169" t="str">
        <f>"U18"</f>
        <v>U18</v>
      </c>
      <c r="H169" t="str">
        <f>"-60"</f>
        <v>-60</v>
      </c>
      <c r="I169" t="str">
        <f>"0180539"</f>
        <v>0180539</v>
      </c>
      <c r="J169" t="str">
        <f>"Yes"</f>
        <v>Yes</v>
      </c>
      <c r="K169" t="str">
        <f>"Quebec"</f>
        <v>Quebec</v>
      </c>
      <c r="M169" t="str">
        <f>""</f>
        <v/>
      </c>
      <c r="N169" t="s">
        <v>194</v>
      </c>
    </row>
    <row r="170" spans="1:14" hidden="1" x14ac:dyDescent="0.25">
      <c r="A170" t="str">
        <f>"Isaak"</f>
        <v>Isaak</v>
      </c>
      <c r="B170" t="str">
        <f>"St-Hilaire"</f>
        <v>St-Hilaire</v>
      </c>
      <c r="C170" t="str">
        <f>"Seiko"</f>
        <v>Seiko</v>
      </c>
      <c r="D170" t="str">
        <f>"M"</f>
        <v>M</v>
      </c>
      <c r="E170" t="s">
        <v>17</v>
      </c>
      <c r="F170" t="s">
        <v>30</v>
      </c>
      <c r="G170" t="s">
        <v>72</v>
      </c>
      <c r="H170" t="str">
        <f>"-60"</f>
        <v>-60</v>
      </c>
      <c r="I170" t="str">
        <f>"0142363"</f>
        <v>0142363</v>
      </c>
      <c r="J170" t="str">
        <f>"Yes"</f>
        <v>Yes</v>
      </c>
      <c r="K170" t="str">
        <f>"Quebec"</f>
        <v>Quebec</v>
      </c>
      <c r="M170" t="str">
        <f>"2 divisions : U18 + U21/Sénior B"</f>
        <v>2 divisions : U18 + U21/Sénior B</v>
      </c>
      <c r="N170" t="s">
        <v>159</v>
      </c>
    </row>
    <row r="171" spans="1:14" hidden="1" x14ac:dyDescent="0.25">
      <c r="A171" t="str">
        <f>"Justin"</f>
        <v>Justin</v>
      </c>
      <c r="B171" t="str">
        <f>"Tremblay"</f>
        <v>Tremblay</v>
      </c>
      <c r="C171" t="str">
        <f>"Seïkidokan"</f>
        <v>Seïkidokan</v>
      </c>
      <c r="D171" t="str">
        <f>"M"</f>
        <v>M</v>
      </c>
      <c r="E171" t="s">
        <v>71</v>
      </c>
      <c r="F171" t="s">
        <v>30</v>
      </c>
      <c r="G171" t="s">
        <v>72</v>
      </c>
      <c r="H171" t="str">
        <f>"-60"</f>
        <v>-60</v>
      </c>
      <c r="I171" t="str">
        <f>"0167519"</f>
        <v>0167519</v>
      </c>
      <c r="J171" t="str">
        <f>"Yes"</f>
        <v>Yes</v>
      </c>
      <c r="K171" t="str">
        <f>"Quebec"</f>
        <v>Quebec</v>
      </c>
      <c r="M171" t="str">
        <f>"2 divisions : U21/Senior B + Senior A"</f>
        <v>2 divisions : U21/Senior B + Senior A</v>
      </c>
      <c r="N171" t="s">
        <v>159</v>
      </c>
    </row>
    <row r="172" spans="1:14" hidden="1" x14ac:dyDescent="0.25">
      <c r="A172" t="str">
        <f>"Sabrine"</f>
        <v>Sabrine</v>
      </c>
      <c r="B172" t="str">
        <f>"Misraoui"</f>
        <v>Misraoui</v>
      </c>
      <c r="C172" t="str">
        <f>"St-Leonard"</f>
        <v>St-Leonard</v>
      </c>
      <c r="D172" t="str">
        <f>"F"</f>
        <v>F</v>
      </c>
      <c r="E172" t="s">
        <v>14</v>
      </c>
      <c r="F172" t="s">
        <v>37</v>
      </c>
      <c r="G172" t="str">
        <f>"U14"</f>
        <v>U14</v>
      </c>
      <c r="H172" t="str">
        <f>"-36"</f>
        <v>-36</v>
      </c>
      <c r="I172" t="str">
        <f>"0222072"</f>
        <v>0222072</v>
      </c>
      <c r="J172" t="str">
        <f>"Yes"</f>
        <v>Yes</v>
      </c>
      <c r="K172" t="str">
        <f>"Quebec"</f>
        <v>Quebec</v>
      </c>
      <c r="M172" t="str">
        <f>""</f>
        <v/>
      </c>
      <c r="N172" t="s">
        <v>170</v>
      </c>
    </row>
    <row r="173" spans="1:14" hidden="1" x14ac:dyDescent="0.25">
      <c r="A173" t="str">
        <f>"Jeremie"</f>
        <v>Jeremie</v>
      </c>
      <c r="B173" t="str">
        <f>"Croteau"</f>
        <v>Croteau</v>
      </c>
      <c r="C173" t="str">
        <f>"Judo Victo"</f>
        <v>Judo Victo</v>
      </c>
      <c r="D173" t="str">
        <f>"M"</f>
        <v>M</v>
      </c>
      <c r="E173" t="s">
        <v>21</v>
      </c>
      <c r="F173" t="s">
        <v>90</v>
      </c>
      <c r="G173" t="str">
        <f>"U12"</f>
        <v>U12</v>
      </c>
      <c r="H173" t="str">
        <f>"-39"</f>
        <v>-39</v>
      </c>
      <c r="I173" t="str">
        <f>"0206207"</f>
        <v>0206207</v>
      </c>
      <c r="J173" t="str">
        <f>"Yes"</f>
        <v>Yes</v>
      </c>
      <c r="K173" t="str">
        <f>"Quebec"</f>
        <v>Quebec</v>
      </c>
      <c r="M173" t="str">
        <f>""</f>
        <v/>
      </c>
      <c r="N173" t="s">
        <v>23</v>
      </c>
    </row>
    <row r="174" spans="1:14" hidden="1" x14ac:dyDescent="0.25">
      <c r="A174" t="str">
        <f>"Guylain"</f>
        <v>Guylain</v>
      </c>
      <c r="B174" t="str">
        <f>"Pouliot"</f>
        <v>Pouliot</v>
      </c>
      <c r="C174" t="str">
        <f>"Lévis"</f>
        <v>Lévis</v>
      </c>
      <c r="D174" t="str">
        <f>"M"</f>
        <v>M</v>
      </c>
      <c r="E174" t="s">
        <v>221</v>
      </c>
      <c r="F174" s="5" t="s">
        <v>37</v>
      </c>
      <c r="G174" t="s">
        <v>196</v>
      </c>
      <c r="H174" t="str">
        <f>"-100"</f>
        <v>-100</v>
      </c>
      <c r="I174" t="str">
        <f>"0414878"</f>
        <v>0414878</v>
      </c>
      <c r="J174" t="str">
        <f>"Yes"</f>
        <v>Yes</v>
      </c>
      <c r="K174" t="str">
        <f>"Quebec"</f>
        <v>Quebec</v>
      </c>
      <c r="M174" t="s">
        <v>222</v>
      </c>
      <c r="N174" t="s">
        <v>198</v>
      </c>
    </row>
    <row r="175" spans="1:14" hidden="1" x14ac:dyDescent="0.25">
      <c r="A175" t="str">
        <f>"Joey"</f>
        <v>Joey</v>
      </c>
      <c r="B175" t="str">
        <f>"Neron"</f>
        <v>Neron</v>
      </c>
      <c r="C175" t="str">
        <f>"Albatros"</f>
        <v>Albatros</v>
      </c>
      <c r="D175" t="str">
        <f>"M"</f>
        <v>M</v>
      </c>
      <c r="E175" t="s">
        <v>14</v>
      </c>
      <c r="F175" t="s">
        <v>22</v>
      </c>
      <c r="G175" t="str">
        <f>"U14"</f>
        <v>U14</v>
      </c>
      <c r="H175" t="str">
        <f>"-34"</f>
        <v>-34</v>
      </c>
      <c r="I175" t="str">
        <f>"0215936"</f>
        <v>0215936</v>
      </c>
      <c r="J175" t="str">
        <f>"Yes"</f>
        <v>Yes</v>
      </c>
      <c r="K175" t="str">
        <f>"Quebec"</f>
        <v>Quebec</v>
      </c>
      <c r="N175" t="s">
        <v>199</v>
      </c>
    </row>
    <row r="176" spans="1:14" x14ac:dyDescent="0.25">
      <c r="A176" t="s">
        <v>223</v>
      </c>
      <c r="B176" t="s">
        <v>224</v>
      </c>
      <c r="C176" t="s">
        <v>67</v>
      </c>
      <c r="D176" t="s">
        <v>52</v>
      </c>
      <c r="E176" t="s">
        <v>24</v>
      </c>
      <c r="F176" t="s">
        <v>18</v>
      </c>
      <c r="G176" t="s">
        <v>25</v>
      </c>
      <c r="H176">
        <v>-60</v>
      </c>
      <c r="I176" t="s">
        <v>225</v>
      </c>
      <c r="J176" t="s">
        <v>46</v>
      </c>
      <c r="K176" t="s">
        <v>47</v>
      </c>
      <c r="M176" t="s">
        <v>48</v>
      </c>
      <c r="N176" t="s">
        <v>194</v>
      </c>
    </row>
    <row r="177" spans="1:14" hidden="1" x14ac:dyDescent="0.25">
      <c r="A177" t="str">
        <f>"Magalie"</f>
        <v>Magalie</v>
      </c>
      <c r="B177" t="str">
        <f>"Ferron"</f>
        <v>Ferron</v>
      </c>
      <c r="C177" t="str">
        <f>"Fermont"</f>
        <v>Fermont</v>
      </c>
      <c r="D177" t="str">
        <f>"F"</f>
        <v>F</v>
      </c>
      <c r="E177" t="s">
        <v>32</v>
      </c>
      <c r="F177" t="s">
        <v>39</v>
      </c>
      <c r="G177" t="str">
        <f>"U16"</f>
        <v>U16</v>
      </c>
      <c r="H177" t="str">
        <f>"-48"</f>
        <v>-48</v>
      </c>
      <c r="I177" t="str">
        <f>"0214707"</f>
        <v>0214707</v>
      </c>
      <c r="J177" t="str">
        <f>"Yes"</f>
        <v>Yes</v>
      </c>
      <c r="K177" t="str">
        <f>"Quebec"</f>
        <v>Quebec</v>
      </c>
      <c r="N177" t="s">
        <v>215</v>
      </c>
    </row>
    <row r="178" spans="1:14" hidden="1" x14ac:dyDescent="0.25">
      <c r="A178" t="str">
        <f>"Florence"</f>
        <v>Florence</v>
      </c>
      <c r="B178" t="str">
        <f>"Gohier"</f>
        <v>Gohier</v>
      </c>
      <c r="C178" t="str">
        <f>"Rikidokan"</f>
        <v>Rikidokan</v>
      </c>
      <c r="D178" t="str">
        <f>"F"</f>
        <v>F</v>
      </c>
      <c r="E178" t="s">
        <v>38</v>
      </c>
      <c r="F178" t="s">
        <v>64</v>
      </c>
      <c r="G178" t="str">
        <f>"U14"</f>
        <v>U14</v>
      </c>
      <c r="H178" t="str">
        <f>"+63"</f>
        <v>+63</v>
      </c>
      <c r="I178" t="str">
        <f>"0211471"</f>
        <v>0211471</v>
      </c>
      <c r="J178" t="str">
        <f>"Yes"</f>
        <v>Yes</v>
      </c>
      <c r="K178" t="str">
        <f>"Quebec"</f>
        <v>Quebec</v>
      </c>
      <c r="M178" t="s">
        <v>110</v>
      </c>
      <c r="N178" t="s">
        <v>226</v>
      </c>
    </row>
    <row r="179" spans="1:14" hidden="1" x14ac:dyDescent="0.25">
      <c r="A179" t="str">
        <f>"Jayden"</f>
        <v>Jayden</v>
      </c>
      <c r="B179" t="str">
        <f>"D'amours"</f>
        <v>D'amours</v>
      </c>
      <c r="C179" t="str">
        <f>"Tani "</f>
        <v xml:space="preserve">Tani </v>
      </c>
      <c r="D179" t="str">
        <f>"M"</f>
        <v>M</v>
      </c>
      <c r="E179" t="s">
        <v>21</v>
      </c>
      <c r="F179" t="s">
        <v>15</v>
      </c>
      <c r="G179" t="str">
        <f>"U12"</f>
        <v>U12</v>
      </c>
      <c r="H179" t="str">
        <f>"-33"</f>
        <v>-33</v>
      </c>
      <c r="I179" t="str">
        <f>"0228770"</f>
        <v>0228770</v>
      </c>
      <c r="J179" t="str">
        <f>"Yes"</f>
        <v>Yes</v>
      </c>
      <c r="K179" t="str">
        <f>"Quebec"</f>
        <v>Quebec</v>
      </c>
      <c r="N179" t="s">
        <v>23</v>
      </c>
    </row>
    <row r="180" spans="1:14" hidden="1" x14ac:dyDescent="0.25">
      <c r="A180" t="str">
        <f>"Maika"</f>
        <v>Maika</v>
      </c>
      <c r="B180" t="str">
        <f>"Perron"</f>
        <v>Perron</v>
      </c>
      <c r="C180" t="str">
        <f>"Zenshin"</f>
        <v>Zenshin</v>
      </c>
      <c r="D180" t="str">
        <f>"F"</f>
        <v>F</v>
      </c>
      <c r="E180" t="s">
        <v>14</v>
      </c>
      <c r="F180" t="s">
        <v>37</v>
      </c>
      <c r="G180" t="str">
        <f>"U14"</f>
        <v>U14</v>
      </c>
      <c r="H180" t="str">
        <f>"-36"</f>
        <v>-36</v>
      </c>
      <c r="I180" t="str">
        <f>"0206354"</f>
        <v>0206354</v>
      </c>
      <c r="J180" t="str">
        <f>"Yes"</f>
        <v>Yes</v>
      </c>
      <c r="K180" t="str">
        <f>"Quebec"</f>
        <v>Quebec</v>
      </c>
      <c r="M180" t="str">
        <f>""</f>
        <v/>
      </c>
      <c r="N180" t="s">
        <v>170</v>
      </c>
    </row>
    <row r="181" spans="1:14" hidden="1" x14ac:dyDescent="0.25">
      <c r="A181" t="str">
        <f>"Kahled"</f>
        <v>Kahled</v>
      </c>
      <c r="B181" t="str">
        <f>"Saidi"</f>
        <v>Saidi</v>
      </c>
      <c r="C181" t="str">
        <f>"St-Paul l'Ermite"</f>
        <v>St-Paul l'Ermite</v>
      </c>
      <c r="D181" t="str">
        <f>"M"</f>
        <v>M</v>
      </c>
      <c r="E181" t="s">
        <v>38</v>
      </c>
      <c r="F181" t="s">
        <v>90</v>
      </c>
      <c r="G181" t="str">
        <f>"U14"</f>
        <v>U14</v>
      </c>
      <c r="H181" t="str">
        <f>"-34"</f>
        <v>-34</v>
      </c>
      <c r="I181" t="str">
        <f>"0217807"</f>
        <v>0217807</v>
      </c>
      <c r="J181" t="str">
        <f>"Yes"</f>
        <v>Yes</v>
      </c>
      <c r="K181" t="str">
        <f>"Quebec"</f>
        <v>Quebec</v>
      </c>
      <c r="N181" t="s">
        <v>199</v>
      </c>
    </row>
    <row r="182" spans="1:14" hidden="1" x14ac:dyDescent="0.25">
      <c r="A182" t="str">
        <f>"Charles"</f>
        <v>Charles</v>
      </c>
      <c r="B182" t="str">
        <f>"Ouellet"</f>
        <v>Ouellet</v>
      </c>
      <c r="C182" t="str">
        <f>"Shidokan"</f>
        <v>Shidokan</v>
      </c>
      <c r="D182" t="str">
        <f>"M"</f>
        <v>M</v>
      </c>
      <c r="E182" t="s">
        <v>24</v>
      </c>
      <c r="F182" t="s">
        <v>39</v>
      </c>
      <c r="G182" t="str">
        <f>"U16"</f>
        <v>U16</v>
      </c>
      <c r="H182" t="str">
        <f>"-42"</f>
        <v>-42</v>
      </c>
      <c r="I182" t="str">
        <f>"0194837"</f>
        <v>0194837</v>
      </c>
      <c r="J182" t="str">
        <f>"Yes"</f>
        <v>Yes</v>
      </c>
      <c r="K182" t="str">
        <f>"Quebec"</f>
        <v>Quebec</v>
      </c>
      <c r="N182" t="s">
        <v>179</v>
      </c>
    </row>
    <row r="183" spans="1:14" hidden="1" x14ac:dyDescent="0.25">
      <c r="A183" t="s">
        <v>227</v>
      </c>
      <c r="B183" t="s">
        <v>228</v>
      </c>
      <c r="C183" t="s">
        <v>59</v>
      </c>
      <c r="D183" t="s">
        <v>52</v>
      </c>
      <c r="E183" t="s">
        <v>229</v>
      </c>
      <c r="F183" t="s">
        <v>15</v>
      </c>
      <c r="G183" t="s">
        <v>196</v>
      </c>
      <c r="H183">
        <v>-60</v>
      </c>
      <c r="I183" t="s">
        <v>230</v>
      </c>
      <c r="J183" t="s">
        <v>46</v>
      </c>
      <c r="K183" t="s">
        <v>47</v>
      </c>
      <c r="N183" t="s">
        <v>231</v>
      </c>
    </row>
    <row r="184" spans="1:14" hidden="1" x14ac:dyDescent="0.25">
      <c r="A184" t="str">
        <f>"Alexis"</f>
        <v>Alexis</v>
      </c>
      <c r="B184" t="str">
        <f>"Guillevic"</f>
        <v>Guillevic</v>
      </c>
      <c r="C184" t="s">
        <v>232</v>
      </c>
      <c r="D184" t="str">
        <f>"M"</f>
        <v>M</v>
      </c>
      <c r="E184">
        <v>2007</v>
      </c>
      <c r="F184" t="s">
        <v>90</v>
      </c>
      <c r="G184" t="str">
        <f>"U14"</f>
        <v>U14</v>
      </c>
      <c r="H184" t="str">
        <f>"-34"</f>
        <v>-34</v>
      </c>
      <c r="J184" t="str">
        <f>"Oui"</f>
        <v>Oui</v>
      </c>
      <c r="K184" t="str">
        <f>"Quebec"</f>
        <v>Quebec</v>
      </c>
      <c r="N184" t="s">
        <v>199</v>
      </c>
    </row>
    <row r="185" spans="1:14" hidden="1" x14ac:dyDescent="0.25">
      <c r="A185" t="str">
        <f>"Meriem"</f>
        <v>Meriem</v>
      </c>
      <c r="B185" t="str">
        <f>"Houla"</f>
        <v>Houla</v>
      </c>
      <c r="C185" t="str">
        <f>"Kiseki Judo"</f>
        <v>Kiseki Judo</v>
      </c>
      <c r="D185" t="str">
        <f>"F"</f>
        <v>F</v>
      </c>
      <c r="E185" t="s">
        <v>233</v>
      </c>
      <c r="F185" t="s">
        <v>30</v>
      </c>
      <c r="G185" t="str">
        <f>"Senior A"</f>
        <v>Senior A</v>
      </c>
      <c r="H185" t="str">
        <f>"-52"</f>
        <v>-52</v>
      </c>
      <c r="I185" t="str">
        <f>"0410478"</f>
        <v>0410478</v>
      </c>
      <c r="J185" t="str">
        <f>"Yes"</f>
        <v>Yes</v>
      </c>
      <c r="K185" t="str">
        <f>"Quebec"</f>
        <v>Quebec</v>
      </c>
      <c r="N185" t="s">
        <v>234</v>
      </c>
    </row>
    <row r="186" spans="1:14" hidden="1" x14ac:dyDescent="0.25">
      <c r="A186" t="str">
        <f>"Laurence"</f>
        <v>Laurence</v>
      </c>
      <c r="B186" t="str">
        <f>"Gagnon"</f>
        <v>Gagnon</v>
      </c>
      <c r="C186" t="str">
        <f>"Judokas Jonquière"</f>
        <v>Judokas Jonquière</v>
      </c>
      <c r="D186" t="str">
        <f>"F"</f>
        <v>F</v>
      </c>
      <c r="E186" t="s">
        <v>38</v>
      </c>
      <c r="F186" t="s">
        <v>39</v>
      </c>
      <c r="G186" t="str">
        <f>"U14"</f>
        <v>U14</v>
      </c>
      <c r="H186" t="str">
        <f>"-44"</f>
        <v>-44</v>
      </c>
      <c r="I186" t="str">
        <f>"0207175"</f>
        <v>0207175</v>
      </c>
      <c r="J186" t="str">
        <f>"Yes"</f>
        <v>Yes</v>
      </c>
      <c r="K186" t="str">
        <f>"Quebec"</f>
        <v>Quebec</v>
      </c>
      <c r="N186" t="s">
        <v>208</v>
      </c>
    </row>
    <row r="187" spans="1:14" hidden="1" x14ac:dyDescent="0.25">
      <c r="A187" t="str">
        <f>"William"</f>
        <v>William</v>
      </c>
      <c r="B187" t="str">
        <f>"Ouellet"</f>
        <v>Ouellet</v>
      </c>
      <c r="C187" t="str">
        <f>"Shidokan"</f>
        <v>Shidokan</v>
      </c>
      <c r="D187" t="str">
        <f>"M"</f>
        <v>M</v>
      </c>
      <c r="E187" t="s">
        <v>24</v>
      </c>
      <c r="F187" t="s">
        <v>39</v>
      </c>
      <c r="G187" t="str">
        <f>"U16"</f>
        <v>U16</v>
      </c>
      <c r="H187" t="str">
        <f>"-42"</f>
        <v>-42</v>
      </c>
      <c r="I187" t="str">
        <f>"0194835"</f>
        <v>0194835</v>
      </c>
      <c r="J187" t="str">
        <f>"Yes"</f>
        <v>Yes</v>
      </c>
      <c r="K187" t="str">
        <f>"Quebec"</f>
        <v>Quebec</v>
      </c>
      <c r="N187" t="s">
        <v>179</v>
      </c>
    </row>
    <row r="188" spans="1:14" x14ac:dyDescent="0.25">
      <c r="A188" t="str">
        <f>"Emili"</f>
        <v>Emili</v>
      </c>
      <c r="B188" t="str">
        <f>"Bourget"</f>
        <v>Bourget</v>
      </c>
      <c r="C188" t="str">
        <f>"Fermont"</f>
        <v>Fermont</v>
      </c>
      <c r="D188" t="str">
        <f>"F"</f>
        <v>F</v>
      </c>
      <c r="E188" t="s">
        <v>27</v>
      </c>
      <c r="F188" t="s">
        <v>18</v>
      </c>
      <c r="G188" t="str">
        <f>"U18"</f>
        <v>U18</v>
      </c>
      <c r="H188" t="str">
        <f>"-52"</f>
        <v>-52</v>
      </c>
      <c r="I188" t="str">
        <f>"0214705"</f>
        <v>0214705</v>
      </c>
      <c r="J188" t="str">
        <f>"Yes"</f>
        <v>Yes</v>
      </c>
      <c r="K188" t="str">
        <f>"Quebec"</f>
        <v>Quebec</v>
      </c>
      <c r="N188" t="s">
        <v>217</v>
      </c>
    </row>
    <row r="189" spans="1:14" x14ac:dyDescent="0.25">
      <c r="A189" t="str">
        <f>"Max"</f>
        <v>Max</v>
      </c>
      <c r="B189" t="str">
        <f>"Garson"</f>
        <v>Garson</v>
      </c>
      <c r="C189" t="str">
        <f>"Shidokan"</f>
        <v>Shidokan</v>
      </c>
      <c r="D189" t="str">
        <f>"M"</f>
        <v>M</v>
      </c>
      <c r="E189" t="s">
        <v>17</v>
      </c>
      <c r="F189" t="s">
        <v>18</v>
      </c>
      <c r="G189" t="str">
        <f>"U18"</f>
        <v>U18</v>
      </c>
      <c r="H189" t="str">
        <f>"-60"</f>
        <v>-60</v>
      </c>
      <c r="I189" t="str">
        <f>"0153258"</f>
        <v>0153258</v>
      </c>
      <c r="J189" t="str">
        <f>"Yes"</f>
        <v>Yes</v>
      </c>
      <c r="K189" t="str">
        <f>"Quebec"</f>
        <v>Quebec</v>
      </c>
      <c r="M189" t="str">
        <f>""</f>
        <v/>
      </c>
      <c r="N189" t="s">
        <v>194</v>
      </c>
    </row>
    <row r="190" spans="1:14" hidden="1" x14ac:dyDescent="0.25">
      <c r="A190" t="s">
        <v>235</v>
      </c>
      <c r="B190" t="s">
        <v>236</v>
      </c>
      <c r="C190" t="s">
        <v>28</v>
      </c>
      <c r="D190" t="s">
        <v>44</v>
      </c>
      <c r="E190" t="s">
        <v>17</v>
      </c>
      <c r="F190" t="s">
        <v>216</v>
      </c>
      <c r="G190" t="s">
        <v>72</v>
      </c>
      <c r="H190">
        <v>-52</v>
      </c>
      <c r="I190" t="s">
        <v>237</v>
      </c>
      <c r="J190" t="s">
        <v>46</v>
      </c>
      <c r="K190" t="s">
        <v>47</v>
      </c>
      <c r="M190" t="s">
        <v>35</v>
      </c>
      <c r="N190" t="s">
        <v>238</v>
      </c>
    </row>
    <row r="191" spans="1:14" hidden="1" x14ac:dyDescent="0.25">
      <c r="A191" t="str">
        <f>"Sunny"</f>
        <v>Sunny</v>
      </c>
      <c r="B191" t="str">
        <f>"Brochu"</f>
        <v>Brochu</v>
      </c>
      <c r="C191" t="str">
        <f>"Seïkidokan"</f>
        <v>Seïkidokan</v>
      </c>
      <c r="D191" t="str">
        <f>"M"</f>
        <v>M</v>
      </c>
      <c r="E191" t="s">
        <v>32</v>
      </c>
      <c r="F191" t="s">
        <v>64</v>
      </c>
      <c r="G191" t="str">
        <f>"U16"</f>
        <v>U16</v>
      </c>
      <c r="H191" t="str">
        <f>"-46"</f>
        <v>-46</v>
      </c>
      <c r="I191" t="str">
        <f>"0237989"</f>
        <v>0237989</v>
      </c>
      <c r="J191" t="str">
        <f>"Yes"</f>
        <v>Yes</v>
      </c>
      <c r="K191" t="str">
        <f>"Quebec"</f>
        <v>Quebec</v>
      </c>
      <c r="M191" t="str">
        <f>""</f>
        <v/>
      </c>
      <c r="N191" t="s">
        <v>239</v>
      </c>
    </row>
    <row r="192" spans="1:14" hidden="1" x14ac:dyDescent="0.25">
      <c r="A192" t="str">
        <f>"Raphael"</f>
        <v>Raphael</v>
      </c>
      <c r="B192" t="str">
        <f>"Brûlé"</f>
        <v>Brûlé</v>
      </c>
      <c r="C192" t="str">
        <f>"Ghishintaido inc."</f>
        <v>Ghishintaido inc.</v>
      </c>
      <c r="D192" t="str">
        <f>"M"</f>
        <v>M</v>
      </c>
      <c r="E192" t="s">
        <v>24</v>
      </c>
      <c r="F192" s="2" t="s">
        <v>18</v>
      </c>
      <c r="G192" t="s">
        <v>151</v>
      </c>
      <c r="H192" t="str">
        <f>"-46"</f>
        <v>-46</v>
      </c>
      <c r="I192" t="str">
        <f>"0153307"</f>
        <v>0153307</v>
      </c>
      <c r="J192" t="str">
        <f>"Yes"</f>
        <v>Yes</v>
      </c>
      <c r="K192" t="str">
        <f>"Quebec"</f>
        <v>Quebec</v>
      </c>
      <c r="N192" t="s">
        <v>239</v>
      </c>
    </row>
    <row r="193" spans="1:14" hidden="1" x14ac:dyDescent="0.25">
      <c r="A193" t="str">
        <f>"Albert"</f>
        <v>Albert</v>
      </c>
      <c r="B193" t="str">
        <f>"Lefebvre"</f>
        <v>Lefebvre</v>
      </c>
      <c r="C193" t="str">
        <f>"Zenshin"</f>
        <v>Zenshin</v>
      </c>
      <c r="D193" t="str">
        <f>"M"</f>
        <v>M</v>
      </c>
      <c r="E193" t="s">
        <v>32</v>
      </c>
      <c r="F193" t="s">
        <v>64</v>
      </c>
      <c r="G193" t="str">
        <f>"U16"</f>
        <v>U16</v>
      </c>
      <c r="H193" t="str">
        <f>"-46"</f>
        <v>-46</v>
      </c>
      <c r="I193" t="str">
        <f>"0228024"</f>
        <v>0228024</v>
      </c>
      <c r="J193" t="str">
        <f>"Yes"</f>
        <v>Yes</v>
      </c>
      <c r="K193" t="str">
        <f>"Quebec"</f>
        <v>Quebec</v>
      </c>
      <c r="M193" t="str">
        <f>""</f>
        <v/>
      </c>
      <c r="N193" t="s">
        <v>239</v>
      </c>
    </row>
    <row r="194" spans="1:14" x14ac:dyDescent="0.25">
      <c r="A194" t="str">
        <f>"Marcelin"</f>
        <v>Marcelin</v>
      </c>
      <c r="B194" t="str">
        <f>"Gosset"</f>
        <v>Gosset</v>
      </c>
      <c r="C194" t="str">
        <f>"Shidokan"</f>
        <v>Shidokan</v>
      </c>
      <c r="D194" t="str">
        <f>"M"</f>
        <v>M</v>
      </c>
      <c r="E194" t="s">
        <v>27</v>
      </c>
      <c r="F194" t="s">
        <v>18</v>
      </c>
      <c r="G194" t="str">
        <f>"U18"</f>
        <v>U18</v>
      </c>
      <c r="H194" t="str">
        <f>"-60"</f>
        <v>-60</v>
      </c>
      <c r="I194" t="str">
        <f>"0214622"</f>
        <v>0214622</v>
      </c>
      <c r="J194" t="str">
        <f>"Yes"</f>
        <v>Yes</v>
      </c>
      <c r="K194" t="str">
        <f>"Quebec"</f>
        <v>Quebec</v>
      </c>
      <c r="N194" t="s">
        <v>194</v>
      </c>
    </row>
    <row r="195" spans="1:14" hidden="1" x14ac:dyDescent="0.25">
      <c r="A195" t="str">
        <f>"Marissa"</f>
        <v>Marissa</v>
      </c>
      <c r="B195" t="str">
        <f>"Langlais"</f>
        <v>Langlais</v>
      </c>
      <c r="C195" t="str">
        <f>"Judo-Tech"</f>
        <v>Judo-Tech</v>
      </c>
      <c r="D195" t="str">
        <f>"F"</f>
        <v>F</v>
      </c>
      <c r="E195" t="s">
        <v>38</v>
      </c>
      <c r="F195" t="s">
        <v>64</v>
      </c>
      <c r="G195" t="str">
        <f>"U14"</f>
        <v>U14</v>
      </c>
      <c r="H195" t="str">
        <f>"-48"</f>
        <v>-48</v>
      </c>
      <c r="I195" t="str">
        <f>"0184405"</f>
        <v>0184405</v>
      </c>
      <c r="J195" t="str">
        <f>"Yes"</f>
        <v>Yes</v>
      </c>
      <c r="K195" t="str">
        <f>"Quebec"</f>
        <v>Quebec</v>
      </c>
      <c r="N195" t="s">
        <v>240</v>
      </c>
    </row>
    <row r="196" spans="1:14" hidden="1" x14ac:dyDescent="0.25">
      <c r="A196" t="str">
        <f>"Samuel"</f>
        <v>Samuel</v>
      </c>
      <c r="B196" t="str">
        <f>"Nepton"</f>
        <v>Nepton</v>
      </c>
      <c r="C196" t="str">
        <f>"Judokas Jonquière"</f>
        <v>Judokas Jonquière</v>
      </c>
      <c r="D196" t="str">
        <f>"M"</f>
        <v>M</v>
      </c>
      <c r="E196" t="s">
        <v>24</v>
      </c>
      <c r="F196" t="s">
        <v>18</v>
      </c>
      <c r="G196" t="str">
        <f>"U16"</f>
        <v>U16</v>
      </c>
      <c r="H196" t="str">
        <f>"-46"</f>
        <v>-46</v>
      </c>
      <c r="I196" t="str">
        <f>"0184296"</f>
        <v>0184296</v>
      </c>
      <c r="J196" t="str">
        <f>"Yes"</f>
        <v>Yes</v>
      </c>
      <c r="K196" t="str">
        <f>"Quebec"</f>
        <v>Quebec</v>
      </c>
      <c r="N196" t="s">
        <v>239</v>
      </c>
    </row>
    <row r="197" spans="1:14" x14ac:dyDescent="0.25">
      <c r="A197" t="s">
        <v>241</v>
      </c>
      <c r="B197" t="s">
        <v>242</v>
      </c>
      <c r="C197" t="s">
        <v>180</v>
      </c>
      <c r="D197" t="s">
        <v>52</v>
      </c>
      <c r="E197" t="s">
        <v>24</v>
      </c>
      <c r="F197" t="s">
        <v>18</v>
      </c>
      <c r="G197" t="s">
        <v>25</v>
      </c>
      <c r="H197">
        <v>-60</v>
      </c>
      <c r="I197" t="s">
        <v>243</v>
      </c>
      <c r="J197" t="s">
        <v>46</v>
      </c>
      <c r="K197" t="s">
        <v>47</v>
      </c>
      <c r="M197" t="s">
        <v>48</v>
      </c>
      <c r="N197" t="s">
        <v>194</v>
      </c>
    </row>
    <row r="198" spans="1:14" hidden="1" x14ac:dyDescent="0.25">
      <c r="A198" t="str">
        <f>"Thomas"</f>
        <v>Thomas</v>
      </c>
      <c r="B198" t="str">
        <f>"Escolar"</f>
        <v>Escolar</v>
      </c>
      <c r="C198" t="str">
        <f>"Shidokan"</f>
        <v>Shidokan</v>
      </c>
      <c r="D198" t="str">
        <f>"M"</f>
        <v>M</v>
      </c>
      <c r="E198" t="s">
        <v>71</v>
      </c>
      <c r="F198" t="s">
        <v>30</v>
      </c>
      <c r="G198" t="s">
        <v>85</v>
      </c>
      <c r="H198" t="str">
        <f>"-60"</f>
        <v>-60</v>
      </c>
      <c r="I198" t="str">
        <f>"0183051"</f>
        <v>0183051</v>
      </c>
      <c r="J198" t="str">
        <f>"Yes"</f>
        <v>Yes</v>
      </c>
      <c r="K198" t="str">
        <f>"Quebec"</f>
        <v>Quebec</v>
      </c>
      <c r="N198" t="s">
        <v>158</v>
      </c>
    </row>
    <row r="199" spans="1:14" hidden="1" x14ac:dyDescent="0.25">
      <c r="A199" t="s">
        <v>244</v>
      </c>
      <c r="B199" t="s">
        <v>245</v>
      </c>
      <c r="C199" t="s">
        <v>246</v>
      </c>
      <c r="D199" t="s">
        <v>52</v>
      </c>
      <c r="E199" t="s">
        <v>17</v>
      </c>
      <c r="F199" t="s">
        <v>18</v>
      </c>
      <c r="G199" t="s">
        <v>72</v>
      </c>
      <c r="H199">
        <v>-66</v>
      </c>
      <c r="I199" t="s">
        <v>247</v>
      </c>
      <c r="J199" t="s">
        <v>46</v>
      </c>
      <c r="K199" t="s">
        <v>47</v>
      </c>
      <c r="M199" t="s">
        <v>35</v>
      </c>
      <c r="N199" t="s">
        <v>248</v>
      </c>
    </row>
    <row r="200" spans="1:14" hidden="1" x14ac:dyDescent="0.25">
      <c r="A200" t="s">
        <v>249</v>
      </c>
      <c r="B200" t="s">
        <v>250</v>
      </c>
      <c r="C200" t="s">
        <v>251</v>
      </c>
      <c r="D200" t="s">
        <v>52</v>
      </c>
      <c r="E200" t="s">
        <v>29</v>
      </c>
      <c r="F200" t="s">
        <v>132</v>
      </c>
      <c r="G200" t="s">
        <v>53</v>
      </c>
      <c r="H200">
        <v>-73</v>
      </c>
      <c r="I200" t="s">
        <v>252</v>
      </c>
      <c r="J200" t="s">
        <v>46</v>
      </c>
      <c r="K200" t="s">
        <v>47</v>
      </c>
      <c r="M200" t="s">
        <v>253</v>
      </c>
      <c r="N200" t="s">
        <v>83</v>
      </c>
    </row>
    <row r="201" spans="1:14" hidden="1" x14ac:dyDescent="0.25">
      <c r="A201" t="str">
        <f>"Alexandre"</f>
        <v>Alexandre</v>
      </c>
      <c r="B201" t="str">
        <f>"Di Bartolo"</f>
        <v>Di Bartolo</v>
      </c>
      <c r="C201" t="str">
        <f>"Shidokan"</f>
        <v>Shidokan</v>
      </c>
      <c r="D201" t="str">
        <f>"M"</f>
        <v>M</v>
      </c>
      <c r="E201" t="s">
        <v>233</v>
      </c>
      <c r="F201" t="s">
        <v>132</v>
      </c>
      <c r="G201" t="str">
        <f>"Senior A"</f>
        <v>Senior A</v>
      </c>
      <c r="H201" t="str">
        <f>"-66"</f>
        <v>-66</v>
      </c>
      <c r="I201" t="str">
        <f>"0013421"</f>
        <v>0013421</v>
      </c>
      <c r="J201" t="str">
        <f>"Yes"</f>
        <v>Yes</v>
      </c>
      <c r="K201" t="str">
        <f>"Quebec"</f>
        <v>Quebec</v>
      </c>
      <c r="N201" t="s">
        <v>254</v>
      </c>
    </row>
    <row r="202" spans="1:14" hidden="1" x14ac:dyDescent="0.25">
      <c r="A202" t="str">
        <f>"Joshua"</f>
        <v>Joshua</v>
      </c>
      <c r="B202" t="str">
        <f>"Dion"</f>
        <v>Dion</v>
      </c>
      <c r="C202" t="str">
        <f>"Torakai"</f>
        <v>Torakai</v>
      </c>
      <c r="D202" t="str">
        <f>"M"</f>
        <v>M</v>
      </c>
      <c r="E202" t="s">
        <v>60</v>
      </c>
      <c r="F202" t="s">
        <v>37</v>
      </c>
      <c r="G202" t="str">
        <f>"U12"</f>
        <v>U12</v>
      </c>
      <c r="H202" t="str">
        <f>"-30"</f>
        <v>-30</v>
      </c>
      <c r="I202" t="str">
        <f>"0219257"</f>
        <v>0219257</v>
      </c>
      <c r="J202" t="str">
        <f>"Yes"</f>
        <v>Yes</v>
      </c>
      <c r="K202" t="str">
        <f>"Quebec"</f>
        <v>Quebec</v>
      </c>
      <c r="N202" t="s">
        <v>23</v>
      </c>
    </row>
    <row r="203" spans="1:14" hidden="1" x14ac:dyDescent="0.25">
      <c r="A203" t="str">
        <f>"Olivier"</f>
        <v>Olivier</v>
      </c>
      <c r="B203" t="str">
        <f>"Dion"</f>
        <v>Dion</v>
      </c>
      <c r="C203" t="str">
        <f>"To Haku kan"</f>
        <v>To Haku kan</v>
      </c>
      <c r="D203" t="str">
        <f>"M"</f>
        <v>M</v>
      </c>
      <c r="E203" t="s">
        <v>60</v>
      </c>
      <c r="F203" t="s">
        <v>15</v>
      </c>
      <c r="G203" t="str">
        <f>"U12"</f>
        <v>U12</v>
      </c>
      <c r="H203" t="str">
        <f>"-36"</f>
        <v>-36</v>
      </c>
      <c r="I203" t="str">
        <f>"0233953"</f>
        <v>0233953</v>
      </c>
      <c r="J203" t="str">
        <f>"Yes"</f>
        <v>Yes</v>
      </c>
      <c r="K203" t="str">
        <f>"Quebec"</f>
        <v>Quebec</v>
      </c>
      <c r="N203" t="s">
        <v>23</v>
      </c>
    </row>
    <row r="204" spans="1:14" hidden="1" x14ac:dyDescent="0.25">
      <c r="A204" t="str">
        <f>"Éliandre"</f>
        <v>Éliandre</v>
      </c>
      <c r="B204" t="str">
        <f>"Barriault-Tremblay"</f>
        <v>Barriault-Tremblay</v>
      </c>
      <c r="C204" t="str">
        <f>"Judokas Jonquière"</f>
        <v>Judokas Jonquière</v>
      </c>
      <c r="D204" t="str">
        <f>"M"</f>
        <v>M</v>
      </c>
      <c r="E204" t="s">
        <v>38</v>
      </c>
      <c r="F204" t="s">
        <v>39</v>
      </c>
      <c r="G204" t="str">
        <f>"U14"</f>
        <v>U14</v>
      </c>
      <c r="H204" t="str">
        <f>"-34"</f>
        <v>-34</v>
      </c>
      <c r="I204" t="str">
        <f>"0184222"</f>
        <v>0184222</v>
      </c>
      <c r="J204" t="str">
        <f>"Yes"</f>
        <v>Yes</v>
      </c>
      <c r="K204" t="str">
        <f>"Quebec"</f>
        <v>Quebec</v>
      </c>
      <c r="N204" t="s">
        <v>255</v>
      </c>
    </row>
    <row r="205" spans="1:14" hidden="1" x14ac:dyDescent="0.25">
      <c r="A205" t="str">
        <f>"Eugène"</f>
        <v>Eugène</v>
      </c>
      <c r="B205" t="str">
        <f>"Dionne"</f>
        <v>Dionne</v>
      </c>
      <c r="C205" t="str">
        <f>"Ghishintaido inc."</f>
        <v>Ghishintaido inc.</v>
      </c>
      <c r="D205" t="str">
        <f>"M"</f>
        <v>M</v>
      </c>
      <c r="E205" t="s">
        <v>60</v>
      </c>
      <c r="F205" t="s">
        <v>22</v>
      </c>
      <c r="G205" t="str">
        <f>"U12"</f>
        <v>U12</v>
      </c>
      <c r="H205" t="str">
        <f>"-30"</f>
        <v>-30</v>
      </c>
      <c r="I205" t="str">
        <f>"0239257"</f>
        <v>0239257</v>
      </c>
      <c r="J205" t="str">
        <f>"Yes"</f>
        <v>Yes</v>
      </c>
      <c r="K205" t="str">
        <f>"Quebec"</f>
        <v>Quebec</v>
      </c>
      <c r="N205" t="s">
        <v>23</v>
      </c>
    </row>
    <row r="206" spans="1:14" hidden="1" x14ac:dyDescent="0.25">
      <c r="A206" t="str">
        <f>"Nicholas"</f>
        <v>Nicholas</v>
      </c>
      <c r="B206" t="str">
        <f>"Ouellet"</f>
        <v>Ouellet</v>
      </c>
      <c r="C206" t="str">
        <f>"Shidokan"</f>
        <v>Shidokan</v>
      </c>
      <c r="D206" t="str">
        <f>"M"</f>
        <v>M</v>
      </c>
      <c r="E206" t="s">
        <v>32</v>
      </c>
      <c r="F206" t="s">
        <v>64</v>
      </c>
      <c r="G206" t="str">
        <f>"U16"</f>
        <v>U16</v>
      </c>
      <c r="H206" t="str">
        <f>"-46"</f>
        <v>-46</v>
      </c>
      <c r="I206" t="str">
        <f>"0194836"</f>
        <v>0194836</v>
      </c>
      <c r="J206" t="str">
        <f>"Yes"</f>
        <v>Yes</v>
      </c>
      <c r="K206" t="str">
        <f>"Quebec"</f>
        <v>Quebec</v>
      </c>
      <c r="N206" t="s">
        <v>239</v>
      </c>
    </row>
    <row r="207" spans="1:14" hidden="1" x14ac:dyDescent="0.25">
      <c r="A207" t="str">
        <f>"Justin"</f>
        <v>Justin</v>
      </c>
      <c r="B207" t="str">
        <f>"Boisvert"</f>
        <v>Boisvert</v>
      </c>
      <c r="C207" t="str">
        <f>"Univestrie/donini"</f>
        <v>Univestrie/donini</v>
      </c>
      <c r="D207" t="str">
        <f>"M"</f>
        <v>M</v>
      </c>
      <c r="E207" t="s">
        <v>24</v>
      </c>
      <c r="F207" t="s">
        <v>33</v>
      </c>
      <c r="G207" t="str">
        <f>"U16"</f>
        <v>U16</v>
      </c>
      <c r="H207" t="str">
        <f>"-50"</f>
        <v>-50</v>
      </c>
      <c r="I207" t="str">
        <f>"0200632"</f>
        <v>0200632</v>
      </c>
      <c r="J207" t="str">
        <f>"Yes"</f>
        <v>Yes</v>
      </c>
      <c r="K207" t="str">
        <f>"Quebec"</f>
        <v>Quebec</v>
      </c>
      <c r="N207" t="s">
        <v>256</v>
      </c>
    </row>
    <row r="208" spans="1:14" hidden="1" x14ac:dyDescent="0.25">
      <c r="A208" t="str">
        <f>"Missy Jen"</f>
        <v>Missy Jen</v>
      </c>
      <c r="B208" t="str">
        <f>"Dorval-Mbele"</f>
        <v>Dorval-Mbele</v>
      </c>
      <c r="C208" t="str">
        <f>"Torii"</f>
        <v>Torii</v>
      </c>
      <c r="D208" t="str">
        <f>"F"</f>
        <v>F</v>
      </c>
      <c r="E208" t="s">
        <v>21</v>
      </c>
      <c r="F208" t="s">
        <v>37</v>
      </c>
      <c r="G208" t="str">
        <f>"U12"</f>
        <v>U12</v>
      </c>
      <c r="H208" t="str">
        <f>"-55"</f>
        <v>-55</v>
      </c>
      <c r="I208" t="str">
        <f>"0205935"</f>
        <v>0205935</v>
      </c>
      <c r="J208" t="str">
        <f>"Yes"</f>
        <v>Yes</v>
      </c>
      <c r="K208" t="str">
        <f>"Quebec"</f>
        <v>Quebec</v>
      </c>
      <c r="M208" t="str">
        <f>""</f>
        <v/>
      </c>
      <c r="N208" t="s">
        <v>91</v>
      </c>
    </row>
    <row r="209" spans="1:14" hidden="1" x14ac:dyDescent="0.25">
      <c r="A209" t="str">
        <f>"Zoe"</f>
        <v>Zoe</v>
      </c>
      <c r="B209" t="str">
        <f>"La Vergne"</f>
        <v>La Vergne</v>
      </c>
      <c r="C209" t="str">
        <f>"CJVR"</f>
        <v>CJVR</v>
      </c>
      <c r="D209" t="str">
        <f>"F"</f>
        <v>F</v>
      </c>
      <c r="E209" t="s">
        <v>32</v>
      </c>
      <c r="F209" t="s">
        <v>90</v>
      </c>
      <c r="G209" t="str">
        <f>"U16"</f>
        <v>U16</v>
      </c>
      <c r="H209" t="str">
        <f>"-48"</f>
        <v>-48</v>
      </c>
      <c r="I209" t="str">
        <f>"0205610"</f>
        <v>0205610</v>
      </c>
      <c r="J209" t="str">
        <f>"Yes"</f>
        <v>Yes</v>
      </c>
      <c r="K209" t="str">
        <f>"Quebec"</f>
        <v>Quebec</v>
      </c>
      <c r="M209" t="s">
        <v>110</v>
      </c>
      <c r="N209" t="s">
        <v>257</v>
      </c>
    </row>
    <row r="210" spans="1:14" hidden="1" x14ac:dyDescent="0.25">
      <c r="A210" t="str">
        <f>"Xavier"</f>
        <v>Xavier</v>
      </c>
      <c r="B210" t="str">
        <f>"Boulet"</f>
        <v>Boulet</v>
      </c>
      <c r="C210" t="str">
        <f>"Zenshin"</f>
        <v>Zenshin</v>
      </c>
      <c r="D210" t="str">
        <f>"M"</f>
        <v>M</v>
      </c>
      <c r="E210" t="s">
        <v>32</v>
      </c>
      <c r="F210" t="s">
        <v>64</v>
      </c>
      <c r="G210" t="str">
        <f>"U16"</f>
        <v>U16</v>
      </c>
      <c r="H210" t="str">
        <f>"-50"</f>
        <v>-50</v>
      </c>
      <c r="I210" t="str">
        <f>"0203880"</f>
        <v>0203880</v>
      </c>
      <c r="J210" t="str">
        <f>"Yes"</f>
        <v>Yes</v>
      </c>
      <c r="K210" t="str">
        <f>"Quebec"</f>
        <v>Quebec</v>
      </c>
      <c r="M210" t="str">
        <f>""</f>
        <v/>
      </c>
      <c r="N210" t="s">
        <v>256</v>
      </c>
    </row>
    <row r="211" spans="1:14" hidden="1" x14ac:dyDescent="0.25">
      <c r="A211" t="str">
        <f>"Emrys"</f>
        <v>Emrys</v>
      </c>
      <c r="B211" t="str">
        <f>"Cauden"</f>
        <v>Cauden</v>
      </c>
      <c r="C211" t="str">
        <f>"Judosphère"</f>
        <v>Judosphère</v>
      </c>
      <c r="D211" t="str">
        <f>"M"</f>
        <v>M</v>
      </c>
      <c r="E211" t="s">
        <v>14</v>
      </c>
      <c r="F211" t="s">
        <v>64</v>
      </c>
      <c r="G211" t="str">
        <f>"U14"</f>
        <v>U14</v>
      </c>
      <c r="H211" t="str">
        <f>"-34"</f>
        <v>-34</v>
      </c>
      <c r="I211" t="str">
        <f>"0177595"</f>
        <v>0177595</v>
      </c>
      <c r="J211" t="str">
        <f>"Yes"</f>
        <v>Yes</v>
      </c>
      <c r="K211" t="str">
        <f>"Quebec"</f>
        <v>Quebec</v>
      </c>
      <c r="N211" t="s">
        <v>255</v>
      </c>
    </row>
    <row r="212" spans="1:14" hidden="1" x14ac:dyDescent="0.25">
      <c r="A212" t="str">
        <f>"Mark-Elie"</f>
        <v>Mark-Elie</v>
      </c>
      <c r="B212" t="str">
        <f>"Boucher"</f>
        <v>Boucher</v>
      </c>
      <c r="C212" t="str">
        <f>"Judo Monde"</f>
        <v>Judo Monde</v>
      </c>
      <c r="D212" t="str">
        <f>"M"</f>
        <v>M</v>
      </c>
      <c r="E212" t="s">
        <v>207</v>
      </c>
      <c r="F212" t="s">
        <v>18</v>
      </c>
      <c r="G212" t="str">
        <f>"U21/Senior B"</f>
        <v>U21/Senior B</v>
      </c>
      <c r="H212" t="str">
        <f>"-66"</f>
        <v>-66</v>
      </c>
      <c r="I212" t="str">
        <f>"0202386"</f>
        <v>0202386</v>
      </c>
      <c r="J212" t="str">
        <f>"Yes"</f>
        <v>Yes</v>
      </c>
      <c r="K212" t="str">
        <f>"Quebec"</f>
        <v>Quebec</v>
      </c>
      <c r="N212" t="s">
        <v>248</v>
      </c>
    </row>
    <row r="213" spans="1:14" hidden="1" x14ac:dyDescent="0.25">
      <c r="A213" t="str">
        <f>"Jacob"</f>
        <v>Jacob</v>
      </c>
      <c r="B213" t="str">
        <f>"Dube"</f>
        <v>Dube</v>
      </c>
      <c r="C213" t="str">
        <f>"Tani "</f>
        <v xml:space="preserve">Tani </v>
      </c>
      <c r="D213" t="str">
        <f>"M"</f>
        <v>M</v>
      </c>
      <c r="E213" t="s">
        <v>60</v>
      </c>
      <c r="F213" t="s">
        <v>15</v>
      </c>
      <c r="G213" t="str">
        <f>"U12"</f>
        <v>U12</v>
      </c>
      <c r="H213" t="str">
        <f>"-30"</f>
        <v>-30</v>
      </c>
      <c r="I213" t="str">
        <f>"0212143"</f>
        <v>0212143</v>
      </c>
      <c r="J213" t="str">
        <f>"Yes"</f>
        <v>Yes</v>
      </c>
      <c r="K213" t="str">
        <f>"Quebec"</f>
        <v>Quebec</v>
      </c>
      <c r="N213" t="s">
        <v>23</v>
      </c>
    </row>
    <row r="214" spans="1:14" hidden="1" x14ac:dyDescent="0.25">
      <c r="A214" t="str">
        <f>"Maek"</f>
        <v>Maek</v>
      </c>
      <c r="B214" t="str">
        <f>"Dube"</f>
        <v>Dube</v>
      </c>
      <c r="C214" t="str">
        <f>"Rikidokan"</f>
        <v>Rikidokan</v>
      </c>
      <c r="D214" t="str">
        <f>"M"</f>
        <v>M</v>
      </c>
      <c r="E214" t="s">
        <v>60</v>
      </c>
      <c r="F214" t="s">
        <v>37</v>
      </c>
      <c r="G214" t="str">
        <f>"U12"</f>
        <v>U12</v>
      </c>
      <c r="H214" t="str">
        <f>"-30"</f>
        <v>-30</v>
      </c>
      <c r="I214" t="str">
        <f>"0223456"</f>
        <v>0223456</v>
      </c>
      <c r="J214" t="str">
        <f>"Yes"</f>
        <v>Yes</v>
      </c>
      <c r="K214" t="str">
        <f>"Quebec"</f>
        <v>Quebec</v>
      </c>
      <c r="N214" t="s">
        <v>23</v>
      </c>
    </row>
    <row r="215" spans="1:14" hidden="1" x14ac:dyDescent="0.25">
      <c r="A215" t="str">
        <f>"Jerome"</f>
        <v>Jerome</v>
      </c>
      <c r="B215" t="str">
        <f>"Dube"</f>
        <v>Dube</v>
      </c>
      <c r="C215" t="str">
        <f>"Judokas Jonquière"</f>
        <v>Judokas Jonquière</v>
      </c>
      <c r="D215" t="str">
        <f>"M"</f>
        <v>M</v>
      </c>
      <c r="E215" t="s">
        <v>21</v>
      </c>
      <c r="F215" t="s">
        <v>64</v>
      </c>
      <c r="G215" t="str">
        <f>"U12"</f>
        <v>U12</v>
      </c>
      <c r="H215" t="str">
        <f>"-39"</f>
        <v>-39</v>
      </c>
      <c r="I215" t="str">
        <f>"0207211"</f>
        <v>0207211</v>
      </c>
      <c r="J215" t="str">
        <f>"Yes"</f>
        <v>Yes</v>
      </c>
      <c r="K215" t="str">
        <f>"Quebec"</f>
        <v>Quebec</v>
      </c>
      <c r="N215" t="s">
        <v>23</v>
      </c>
    </row>
    <row r="216" spans="1:14" hidden="1" x14ac:dyDescent="0.25">
      <c r="A216" t="str">
        <f>"Charles"</f>
        <v>Charles</v>
      </c>
      <c r="B216" t="str">
        <f>"Dube"</f>
        <v>Dube</v>
      </c>
      <c r="C216" t="str">
        <f>"La Pocatiere"</f>
        <v>La Pocatiere</v>
      </c>
      <c r="D216" t="str">
        <f>"M"</f>
        <v>M</v>
      </c>
      <c r="E216" t="s">
        <v>21</v>
      </c>
      <c r="F216" t="s">
        <v>37</v>
      </c>
      <c r="G216" t="str">
        <f>"U12"</f>
        <v>U12</v>
      </c>
      <c r="H216" t="str">
        <f>"-45"</f>
        <v>-45</v>
      </c>
      <c r="I216" t="str">
        <f>"0207151"</f>
        <v>0207151</v>
      </c>
      <c r="J216" t="str">
        <f>"Yes"</f>
        <v>Yes</v>
      </c>
      <c r="K216" t="str">
        <f>"Quebec"</f>
        <v>Quebec</v>
      </c>
      <c r="N216" t="s">
        <v>23</v>
      </c>
    </row>
    <row r="217" spans="1:14" hidden="1" x14ac:dyDescent="0.25">
      <c r="A217" t="str">
        <f>"Noah"</f>
        <v>Noah</v>
      </c>
      <c r="B217" t="str">
        <f>"Drolet"</f>
        <v>Drolet</v>
      </c>
      <c r="C217" t="str">
        <f>"Sept-Iles"</f>
        <v>Sept-Iles</v>
      </c>
      <c r="D217" t="str">
        <f>"M"</f>
        <v>M</v>
      </c>
      <c r="E217" t="s">
        <v>14</v>
      </c>
      <c r="F217" t="s">
        <v>39</v>
      </c>
      <c r="G217" t="str">
        <f>"U14"</f>
        <v>U14</v>
      </c>
      <c r="H217" t="str">
        <f>"-34"</f>
        <v>-34</v>
      </c>
      <c r="I217" t="str">
        <f>"0162629"</f>
        <v>0162629</v>
      </c>
      <c r="J217" t="str">
        <f>"Yes"</f>
        <v>Yes</v>
      </c>
      <c r="K217" t="str">
        <f>"Quebec"</f>
        <v>Quebec</v>
      </c>
      <c r="N217" t="s">
        <v>255</v>
      </c>
    </row>
    <row r="218" spans="1:14" hidden="1" x14ac:dyDescent="0.25">
      <c r="A218" t="str">
        <f>"Antoine"</f>
        <v>Antoine</v>
      </c>
      <c r="B218" t="str">
        <f>"Jean-Pierre"</f>
        <v>Jean-Pierre</v>
      </c>
      <c r="C218" t="s">
        <v>258</v>
      </c>
      <c r="D218" t="str">
        <f>"M"</f>
        <v>M</v>
      </c>
      <c r="E218" t="s">
        <v>14</v>
      </c>
      <c r="F218" t="s">
        <v>64</v>
      </c>
      <c r="G218" t="str">
        <f>"U14"</f>
        <v>U14</v>
      </c>
      <c r="H218" t="str">
        <f>"-34"</f>
        <v>-34</v>
      </c>
      <c r="I218" t="str">
        <f>"0220797"</f>
        <v>0220797</v>
      </c>
      <c r="J218" t="str">
        <f>"Yes"</f>
        <v>Yes</v>
      </c>
      <c r="K218" t="str">
        <f>"Quebec"</f>
        <v>Quebec</v>
      </c>
      <c r="N218" t="s">
        <v>255</v>
      </c>
    </row>
    <row r="219" spans="1:14" hidden="1" x14ac:dyDescent="0.25">
      <c r="A219" t="str">
        <f>"Malika"</f>
        <v>Malika</v>
      </c>
      <c r="B219" t="str">
        <f>"Haug"</f>
        <v>Haug</v>
      </c>
      <c r="C219" t="str">
        <f>"Univestrie/donini"</f>
        <v>Univestrie/donini</v>
      </c>
      <c r="D219" t="str">
        <f>"F"</f>
        <v>F</v>
      </c>
      <c r="E219" t="s">
        <v>32</v>
      </c>
      <c r="F219" t="s">
        <v>64</v>
      </c>
      <c r="G219" t="str">
        <f>"U16"</f>
        <v>U16</v>
      </c>
      <c r="H219" t="str">
        <f>"-48"</f>
        <v>-48</v>
      </c>
      <c r="I219" t="str">
        <f>"0224371"</f>
        <v>0224371</v>
      </c>
      <c r="J219" t="str">
        <f>"Yes"</f>
        <v>Yes</v>
      </c>
      <c r="K219" t="str">
        <f>"Quebec"</f>
        <v>Quebec</v>
      </c>
      <c r="M219" t="str">
        <f>""</f>
        <v/>
      </c>
      <c r="N219" t="s">
        <v>215</v>
      </c>
    </row>
    <row r="220" spans="1:14" hidden="1" x14ac:dyDescent="0.25">
      <c r="A220" t="str">
        <f>"Issac"</f>
        <v>Issac</v>
      </c>
      <c r="B220" t="str">
        <f>"Pudas"</f>
        <v>Pudas</v>
      </c>
      <c r="C220" t="str">
        <f>"Kiseki Judo"</f>
        <v>Kiseki Judo</v>
      </c>
      <c r="D220" t="str">
        <f>"M"</f>
        <v>M</v>
      </c>
      <c r="E220" t="s">
        <v>259</v>
      </c>
      <c r="F220" t="s">
        <v>30</v>
      </c>
      <c r="G220" t="str">
        <f>"Master"</f>
        <v>Master</v>
      </c>
      <c r="H220" t="str">
        <f>"+100"</f>
        <v>+100</v>
      </c>
      <c r="I220" t="str">
        <f>"0240672"</f>
        <v>0240672</v>
      </c>
      <c r="J220" t="str">
        <f>"Yes"</f>
        <v>Yes</v>
      </c>
      <c r="K220" t="str">
        <f>"Quebec"</f>
        <v>Quebec</v>
      </c>
      <c r="M220" t="str">
        <f>""</f>
        <v/>
      </c>
      <c r="N220" t="s">
        <v>260</v>
      </c>
    </row>
    <row r="221" spans="1:14" hidden="1" x14ac:dyDescent="0.25">
      <c r="A221" t="str">
        <f>"Luc"</f>
        <v>Luc</v>
      </c>
      <c r="B221" t="str">
        <f>"Dubé"</f>
        <v>Dubé</v>
      </c>
      <c r="C221" t="s">
        <v>124</v>
      </c>
      <c r="D221" t="str">
        <f>"M"</f>
        <v>M</v>
      </c>
      <c r="E221" t="s">
        <v>261</v>
      </c>
      <c r="F221" t="s">
        <v>30</v>
      </c>
      <c r="G221" t="str">
        <f>"Master"</f>
        <v>Master</v>
      </c>
      <c r="H221" t="str">
        <f>"+100"</f>
        <v>+100</v>
      </c>
      <c r="I221" t="str">
        <f>"0010762"</f>
        <v>0010762</v>
      </c>
      <c r="J221" t="str">
        <f>"Yes"</f>
        <v>Yes</v>
      </c>
      <c r="K221" t="str">
        <f>"Quebec"</f>
        <v>Quebec</v>
      </c>
      <c r="N221" t="s">
        <v>260</v>
      </c>
    </row>
    <row r="222" spans="1:14" hidden="1" x14ac:dyDescent="0.25">
      <c r="A222" t="str">
        <f>"Emma"</f>
        <v>Emma</v>
      </c>
      <c r="B222" t="str">
        <f>"Proulx-Olson"</f>
        <v>Proulx-Olson</v>
      </c>
      <c r="C222" t="str">
        <f>"Perrot Shima"</f>
        <v>Perrot Shima</v>
      </c>
      <c r="D222" t="str">
        <f>"F"</f>
        <v>F</v>
      </c>
      <c r="E222" t="s">
        <v>14</v>
      </c>
      <c r="F222" t="s">
        <v>39</v>
      </c>
      <c r="G222" t="str">
        <f>"U14"</f>
        <v>U14</v>
      </c>
      <c r="H222" t="str">
        <f>"-48"</f>
        <v>-48</v>
      </c>
      <c r="I222" t="str">
        <f>"0184805"</f>
        <v>0184805</v>
      </c>
      <c r="J222" t="str">
        <f>"Yes"</f>
        <v>Yes</v>
      </c>
      <c r="K222" t="str">
        <f>"Quebec"</f>
        <v>Quebec</v>
      </c>
      <c r="N222" t="s">
        <v>240</v>
      </c>
    </row>
    <row r="223" spans="1:14" hidden="1" x14ac:dyDescent="0.25">
      <c r="A223" t="str">
        <f>"Tyler"</f>
        <v>Tyler</v>
      </c>
      <c r="B223" t="str">
        <f>"D'arterio"</f>
        <v>D'arterio</v>
      </c>
      <c r="C223" t="str">
        <f>"Perrot Shima"</f>
        <v>Perrot Shima</v>
      </c>
      <c r="D223" t="str">
        <f>"M"</f>
        <v>M</v>
      </c>
      <c r="E223" t="s">
        <v>24</v>
      </c>
      <c r="F223" t="s">
        <v>18</v>
      </c>
      <c r="G223" t="str">
        <f>"U16"</f>
        <v>U16</v>
      </c>
      <c r="H223" t="str">
        <f>"-50"</f>
        <v>-50</v>
      </c>
      <c r="I223" t="str">
        <f>"0163862"</f>
        <v>0163862</v>
      </c>
      <c r="J223" t="str">
        <f>"Yes"</f>
        <v>Yes</v>
      </c>
      <c r="K223" t="str">
        <f>"Quebec"</f>
        <v>Quebec</v>
      </c>
      <c r="M223" t="str">
        <f>""</f>
        <v/>
      </c>
      <c r="N223" t="s">
        <v>256</v>
      </c>
    </row>
    <row r="224" spans="1:14" hidden="1" x14ac:dyDescent="0.25">
      <c r="A224" t="str">
        <f>"Max-Olivier"</f>
        <v>Max-Olivier</v>
      </c>
      <c r="B224" t="str">
        <f>"Labelle"</f>
        <v>Labelle</v>
      </c>
      <c r="C224" t="str">
        <f>"Sept-Iles"</f>
        <v>Sept-Iles</v>
      </c>
      <c r="D224" t="str">
        <f>"M"</f>
        <v>M</v>
      </c>
      <c r="E224" t="s">
        <v>14</v>
      </c>
      <c r="F224" t="s">
        <v>64</v>
      </c>
      <c r="G224" t="str">
        <f>"U14"</f>
        <v>U14</v>
      </c>
      <c r="H224" t="str">
        <f>"-34"</f>
        <v>-34</v>
      </c>
      <c r="I224" t="str">
        <f>"0217166"</f>
        <v>0217166</v>
      </c>
      <c r="J224" t="str">
        <f>"Yes"</f>
        <v>Yes</v>
      </c>
      <c r="K224" t="str">
        <f>"Quebec"</f>
        <v>Quebec</v>
      </c>
      <c r="N224" t="s">
        <v>255</v>
      </c>
    </row>
    <row r="225" spans="1:14" hidden="1" x14ac:dyDescent="0.25">
      <c r="A225" t="str">
        <f>"Alexandre"</f>
        <v>Alexandre</v>
      </c>
      <c r="B225" t="str">
        <f>"Langevin"</f>
        <v>Langevin</v>
      </c>
      <c r="C225" t="str">
        <f>"Torakai"</f>
        <v>Torakai</v>
      </c>
      <c r="D225" t="str">
        <f>"M"</f>
        <v>M</v>
      </c>
      <c r="E225" t="s">
        <v>14</v>
      </c>
      <c r="F225" t="s">
        <v>64</v>
      </c>
      <c r="G225" t="str">
        <f>"U14"</f>
        <v>U14</v>
      </c>
      <c r="H225" t="str">
        <f>"-34"</f>
        <v>-34</v>
      </c>
      <c r="I225" t="str">
        <f>"0217791"</f>
        <v>0217791</v>
      </c>
      <c r="J225" t="str">
        <f>"Yes"</f>
        <v>Yes</v>
      </c>
      <c r="K225" t="str">
        <f>"Quebec"</f>
        <v>Quebec</v>
      </c>
      <c r="M225" t="str">
        <f>""</f>
        <v/>
      </c>
      <c r="N225" t="s">
        <v>255</v>
      </c>
    </row>
    <row r="226" spans="1:14" hidden="1" x14ac:dyDescent="0.25">
      <c r="A226" t="str">
        <f>"Alexandre"</f>
        <v>Alexandre</v>
      </c>
      <c r="B226" t="str">
        <f>"Desbiens"</f>
        <v>Desbiens</v>
      </c>
      <c r="C226" t="str">
        <f>"Judokas Jonquière"</f>
        <v>Judokas Jonquière</v>
      </c>
      <c r="D226" t="str">
        <f>"M"</f>
        <v>M</v>
      </c>
      <c r="E226" t="s">
        <v>24</v>
      </c>
      <c r="F226" t="s">
        <v>18</v>
      </c>
      <c r="G226" t="s">
        <v>151</v>
      </c>
      <c r="H226" t="str">
        <f>"-50"</f>
        <v>-50</v>
      </c>
      <c r="I226" t="str">
        <f>"0163277"</f>
        <v>0163277</v>
      </c>
      <c r="J226" t="str">
        <f>"Yes"</f>
        <v>Yes</v>
      </c>
      <c r="K226" t="str">
        <f>"Quebec"</f>
        <v>Quebec</v>
      </c>
      <c r="N226" t="s">
        <v>256</v>
      </c>
    </row>
    <row r="227" spans="1:14" hidden="1" x14ac:dyDescent="0.25">
      <c r="A227" t="str">
        <f>"Alexis"</f>
        <v>Alexis</v>
      </c>
      <c r="B227" t="str">
        <f>"Kearney"</f>
        <v>Kearney</v>
      </c>
      <c r="C227" t="str">
        <f>"Blainville"</f>
        <v>Blainville</v>
      </c>
      <c r="D227" t="str">
        <f>"M"</f>
        <v>M</v>
      </c>
      <c r="E227" t="s">
        <v>32</v>
      </c>
      <c r="F227" t="s">
        <v>39</v>
      </c>
      <c r="G227" t="str">
        <f>"U16"</f>
        <v>U16</v>
      </c>
      <c r="H227" t="str">
        <f>"-50"</f>
        <v>-50</v>
      </c>
      <c r="I227" t="str">
        <f>"0175267"</f>
        <v>0175267</v>
      </c>
      <c r="J227" t="str">
        <f>"Yes"</f>
        <v>Yes</v>
      </c>
      <c r="K227" t="str">
        <f>"Quebec"</f>
        <v>Quebec</v>
      </c>
      <c r="N227" t="s">
        <v>256</v>
      </c>
    </row>
    <row r="228" spans="1:14" hidden="1" x14ac:dyDescent="0.25">
      <c r="A228" t="str">
        <f>"Dany"</f>
        <v>Dany</v>
      </c>
      <c r="B228" t="str">
        <f>"Bouchard"</f>
        <v>Bouchard</v>
      </c>
      <c r="C228" t="str">
        <f>"Fermont"</f>
        <v>Fermont</v>
      </c>
      <c r="D228" t="str">
        <f>"M"</f>
        <v>M</v>
      </c>
      <c r="E228" t="s">
        <v>262</v>
      </c>
      <c r="F228" t="s">
        <v>132</v>
      </c>
      <c r="G228" t="str">
        <f>"Master"</f>
        <v>Master</v>
      </c>
      <c r="H228" t="str">
        <f>"-100"</f>
        <v>-100</v>
      </c>
      <c r="I228" t="str">
        <f>"8329"</f>
        <v>8329</v>
      </c>
      <c r="J228" t="str">
        <f>"Yes"</f>
        <v>Yes</v>
      </c>
      <c r="K228" t="str">
        <f>"Quebec"</f>
        <v>Quebec</v>
      </c>
      <c r="N228" t="s">
        <v>263</v>
      </c>
    </row>
    <row r="229" spans="1:14" hidden="1" x14ac:dyDescent="0.25">
      <c r="A229" t="str">
        <f>"Sophie"</f>
        <v>Sophie</v>
      </c>
      <c r="B229" t="str">
        <f>"Lapointe"</f>
        <v>Lapointe</v>
      </c>
      <c r="C229" t="str">
        <f>"Judokan Port Cartier"</f>
        <v>Judokan Port Cartier</v>
      </c>
      <c r="D229" t="str">
        <f>"F"</f>
        <v>F</v>
      </c>
      <c r="E229" t="s">
        <v>24</v>
      </c>
      <c r="F229" t="s">
        <v>18</v>
      </c>
      <c r="G229" t="s">
        <v>151</v>
      </c>
      <c r="H229" t="str">
        <f>"-48"</f>
        <v>-48</v>
      </c>
      <c r="I229" t="str">
        <f>"0189028"</f>
        <v>0189028</v>
      </c>
      <c r="J229" t="str">
        <f>"Yes"</f>
        <v>Yes</v>
      </c>
      <c r="K229" t="str">
        <f>"Quebec"</f>
        <v>Quebec</v>
      </c>
      <c r="M229" t="str">
        <f>"2 divisions : U16 + U18"</f>
        <v>2 divisions : U16 + U18</v>
      </c>
      <c r="N229" t="s">
        <v>215</v>
      </c>
    </row>
    <row r="230" spans="1:14" x14ac:dyDescent="0.25">
      <c r="A230" t="str">
        <f>"Simon"</f>
        <v>Simon</v>
      </c>
      <c r="B230" t="str">
        <f>"Paquet"</f>
        <v>Paquet</v>
      </c>
      <c r="C230" t="str">
        <f>"Albatros"</f>
        <v>Albatros</v>
      </c>
      <c r="D230" t="str">
        <f>"M"</f>
        <v>M</v>
      </c>
      <c r="E230" t="s">
        <v>17</v>
      </c>
      <c r="F230" t="s">
        <v>18</v>
      </c>
      <c r="G230" t="str">
        <f>"U18"</f>
        <v>U18</v>
      </c>
      <c r="H230" t="str">
        <f>"-60"</f>
        <v>-60</v>
      </c>
      <c r="I230" t="str">
        <f>"0163993"</f>
        <v>0163993</v>
      </c>
      <c r="J230" t="str">
        <f>"Yes"</f>
        <v>Yes</v>
      </c>
      <c r="K230" t="str">
        <f>"Quebec"</f>
        <v>Quebec</v>
      </c>
      <c r="N230" t="s">
        <v>194</v>
      </c>
    </row>
    <row r="231" spans="1:14" hidden="1" x14ac:dyDescent="0.25">
      <c r="A231" t="str">
        <f>"Olivier"</f>
        <v>Olivier</v>
      </c>
      <c r="B231" t="str">
        <f>"Maurice"</f>
        <v>Maurice</v>
      </c>
      <c r="C231" t="str">
        <f>"Blainville"</f>
        <v>Blainville</v>
      </c>
      <c r="D231" t="str">
        <f>"M"</f>
        <v>M</v>
      </c>
      <c r="E231" t="s">
        <v>38</v>
      </c>
      <c r="F231" t="s">
        <v>33</v>
      </c>
      <c r="G231" t="str">
        <f>"U14"</f>
        <v>U14</v>
      </c>
      <c r="H231" t="str">
        <f>"-34"</f>
        <v>-34</v>
      </c>
      <c r="I231" t="str">
        <f>"0183307"</f>
        <v>0183307</v>
      </c>
      <c r="J231" t="str">
        <f>"Yes"</f>
        <v>Yes</v>
      </c>
      <c r="K231" t="str">
        <f>"Quebec"</f>
        <v>Quebec</v>
      </c>
      <c r="M231" t="str">
        <f>""</f>
        <v/>
      </c>
      <c r="N231" t="s">
        <v>255</v>
      </c>
    </row>
    <row r="232" spans="1:14" hidden="1" x14ac:dyDescent="0.25">
      <c r="A232" t="str">
        <f>"Lens"</f>
        <v>Lens</v>
      </c>
      <c r="B232" t="str">
        <f>"Gaudreault"</f>
        <v>Gaudreault</v>
      </c>
      <c r="C232" t="str">
        <f>"Albatros"</f>
        <v>Albatros</v>
      </c>
      <c r="D232" t="str">
        <f>"M"</f>
        <v>M</v>
      </c>
      <c r="E232" t="s">
        <v>32</v>
      </c>
      <c r="F232" t="s">
        <v>90</v>
      </c>
      <c r="G232" t="str">
        <f>"U16"</f>
        <v>U16</v>
      </c>
      <c r="H232" t="str">
        <f>"-46"</f>
        <v>-46</v>
      </c>
      <c r="I232" t="str">
        <f>"0206764"</f>
        <v>0206764</v>
      </c>
      <c r="J232" t="str">
        <f>"Yes"</f>
        <v>Yes</v>
      </c>
      <c r="K232" t="str">
        <f>"Quebec"</f>
        <v>Quebec</v>
      </c>
      <c r="N232" t="s">
        <v>264</v>
      </c>
    </row>
    <row r="233" spans="1:14" x14ac:dyDescent="0.25">
      <c r="A233" t="str">
        <f>"El Mehdi"</f>
        <v>El Mehdi</v>
      </c>
      <c r="B233" t="str">
        <f>"Bourouiss"</f>
        <v>Bourouiss</v>
      </c>
      <c r="C233" t="str">
        <f>"Budokan Saint-Laurent"</f>
        <v>Budokan Saint-Laurent</v>
      </c>
      <c r="D233" t="str">
        <f>"M"</f>
        <v>M</v>
      </c>
      <c r="E233" t="s">
        <v>17</v>
      </c>
      <c r="F233" t="s">
        <v>37</v>
      </c>
      <c r="G233" t="str">
        <f>"U18"</f>
        <v>U18</v>
      </c>
      <c r="H233" t="str">
        <f>"-73"</f>
        <v>-73</v>
      </c>
      <c r="I233" t="str">
        <f>"0410065"</f>
        <v>0410065</v>
      </c>
      <c r="J233" t="str">
        <f>"Yes"</f>
        <v>Yes</v>
      </c>
      <c r="K233" t="str">
        <f>"Quebec"</f>
        <v>Quebec</v>
      </c>
      <c r="N233" t="s">
        <v>265</v>
      </c>
    </row>
    <row r="234" spans="1:14" hidden="1" x14ac:dyDescent="0.25">
      <c r="A234" t="s">
        <v>266</v>
      </c>
      <c r="B234" t="s">
        <v>267</v>
      </c>
      <c r="C234" t="s">
        <v>268</v>
      </c>
      <c r="D234" t="s">
        <v>52</v>
      </c>
      <c r="E234" t="s">
        <v>27</v>
      </c>
      <c r="F234" t="s">
        <v>18</v>
      </c>
      <c r="G234" t="s">
        <v>72</v>
      </c>
      <c r="H234">
        <v>-66</v>
      </c>
      <c r="I234" t="s">
        <v>269</v>
      </c>
      <c r="J234" t="s">
        <v>46</v>
      </c>
      <c r="K234" t="s">
        <v>47</v>
      </c>
      <c r="M234" t="s">
        <v>35</v>
      </c>
      <c r="N234" t="s">
        <v>248</v>
      </c>
    </row>
    <row r="235" spans="1:14" hidden="1" x14ac:dyDescent="0.25">
      <c r="A235" t="str">
        <f>"Mathilde"</f>
        <v>Mathilde</v>
      </c>
      <c r="B235" t="str">
        <f>"Simard-Lejuene"</f>
        <v>Simard-Lejuene</v>
      </c>
      <c r="C235" t="str">
        <f>"Seiko"</f>
        <v>Seiko</v>
      </c>
      <c r="D235" t="str">
        <f>"F"</f>
        <v>F</v>
      </c>
      <c r="E235" t="s">
        <v>24</v>
      </c>
      <c r="F235" t="s">
        <v>18</v>
      </c>
      <c r="G235" t="s">
        <v>151</v>
      </c>
      <c r="H235" t="str">
        <f>"-48"</f>
        <v>-48</v>
      </c>
      <c r="I235" t="str">
        <f>"0200069"</f>
        <v>0200069</v>
      </c>
      <c r="J235" t="str">
        <f>"Yes"</f>
        <v>Yes</v>
      </c>
      <c r="K235" t="str">
        <f>"Quebec"</f>
        <v>Quebec</v>
      </c>
      <c r="M235" t="s">
        <v>48</v>
      </c>
      <c r="N235" t="s">
        <v>215</v>
      </c>
    </row>
    <row r="236" spans="1:14" hidden="1" x14ac:dyDescent="0.25">
      <c r="A236" t="str">
        <f>"Tyler"</f>
        <v>Tyler</v>
      </c>
      <c r="B236" t="str">
        <f>"Field"</f>
        <v>Field</v>
      </c>
      <c r="C236" t="str">
        <f>"Shidokan"</f>
        <v>Shidokan</v>
      </c>
      <c r="D236" t="str">
        <f>"M"</f>
        <v>M</v>
      </c>
      <c r="E236" t="s">
        <v>60</v>
      </c>
      <c r="F236" t="s">
        <v>15</v>
      </c>
      <c r="G236" t="str">
        <f>"U12"</f>
        <v>U12</v>
      </c>
      <c r="H236" t="str">
        <f>"-30"</f>
        <v>-30</v>
      </c>
      <c r="I236" t="str">
        <f>"0198006"</f>
        <v>0198006</v>
      </c>
      <c r="J236" t="str">
        <f>"Yes"</f>
        <v>Yes</v>
      </c>
      <c r="K236" t="str">
        <f>"Quebec"</f>
        <v>Quebec</v>
      </c>
      <c r="M236" t="str">
        <f>""</f>
        <v/>
      </c>
      <c r="N236" t="s">
        <v>23</v>
      </c>
    </row>
    <row r="237" spans="1:14" hidden="1" x14ac:dyDescent="0.25">
      <c r="A237" t="str">
        <f>"Ryan"</f>
        <v>Ryan</v>
      </c>
      <c r="B237" t="str">
        <f>"Field"</f>
        <v>Field</v>
      </c>
      <c r="C237" t="str">
        <f>"Shidokan"</f>
        <v>Shidokan</v>
      </c>
      <c r="D237" t="str">
        <f>"M"</f>
        <v>M</v>
      </c>
      <c r="E237" t="s">
        <v>60</v>
      </c>
      <c r="F237" t="s">
        <v>15</v>
      </c>
      <c r="G237" t="str">
        <f>"U12"</f>
        <v>U12</v>
      </c>
      <c r="H237" t="str">
        <f>"-30"</f>
        <v>-30</v>
      </c>
      <c r="I237" t="str">
        <f>"0198007"</f>
        <v>0198007</v>
      </c>
      <c r="J237" t="str">
        <f>"Yes"</f>
        <v>Yes</v>
      </c>
      <c r="K237" t="str">
        <f>"Quebec"</f>
        <v>Quebec</v>
      </c>
      <c r="M237" t="str">
        <f>""</f>
        <v/>
      </c>
      <c r="N237" t="s">
        <v>23</v>
      </c>
    </row>
    <row r="238" spans="1:14" hidden="1" x14ac:dyDescent="0.25">
      <c r="A238" t="str">
        <f>"Belkacem"</f>
        <v>Belkacem</v>
      </c>
      <c r="B238" t="str">
        <f>"Filouane"</f>
        <v>Filouane</v>
      </c>
      <c r="C238" t="str">
        <f>"St-Leonard"</f>
        <v>St-Leonard</v>
      </c>
      <c r="D238" t="str">
        <f>"M"</f>
        <v>M</v>
      </c>
      <c r="E238" t="s">
        <v>60</v>
      </c>
      <c r="F238" t="s">
        <v>37</v>
      </c>
      <c r="G238" t="str">
        <f>"U12"</f>
        <v>U12</v>
      </c>
      <c r="H238" t="str">
        <f>"-30"</f>
        <v>-30</v>
      </c>
      <c r="I238" t="str">
        <f>"0203547"</f>
        <v>0203547</v>
      </c>
      <c r="J238" t="str">
        <f>"Yes"</f>
        <v>Yes</v>
      </c>
      <c r="K238" t="str">
        <f>"Quebec"</f>
        <v>Quebec</v>
      </c>
      <c r="M238" t="str">
        <f>""</f>
        <v/>
      </c>
      <c r="N238" t="s">
        <v>23</v>
      </c>
    </row>
    <row r="239" spans="1:14" hidden="1" x14ac:dyDescent="0.25">
      <c r="A239" t="str">
        <f>"Loik"</f>
        <v>Loik</v>
      </c>
      <c r="B239" t="str">
        <f>"Mercier"</f>
        <v>Mercier</v>
      </c>
      <c r="C239" t="str">
        <f>"Judokan Port Cartier"</f>
        <v>Judokan Port Cartier</v>
      </c>
      <c r="D239" t="str">
        <f>"M"</f>
        <v>M</v>
      </c>
      <c r="E239" t="s">
        <v>14</v>
      </c>
      <c r="F239" t="s">
        <v>64</v>
      </c>
      <c r="G239" t="str">
        <f>"U14"</f>
        <v>U14</v>
      </c>
      <c r="H239" t="str">
        <f>"-34"</f>
        <v>-34</v>
      </c>
      <c r="I239" t="str">
        <f>"0214549"</f>
        <v>0214549</v>
      </c>
      <c r="J239" t="str">
        <f>"Yes"</f>
        <v>Yes</v>
      </c>
      <c r="K239" t="str">
        <f>"Quebec"</f>
        <v>Quebec</v>
      </c>
      <c r="N239" t="s">
        <v>255</v>
      </c>
    </row>
    <row r="240" spans="1:14" hidden="1" x14ac:dyDescent="0.25">
      <c r="A240" t="str">
        <f>"Alexi"</f>
        <v>Alexi</v>
      </c>
      <c r="B240" t="str">
        <f>"Levesque"</f>
        <v>Levesque</v>
      </c>
      <c r="C240" t="str">
        <f>"Rikidokan"</f>
        <v>Rikidokan</v>
      </c>
      <c r="D240" t="str">
        <f>"M"</f>
        <v>M</v>
      </c>
      <c r="E240" t="s">
        <v>24</v>
      </c>
      <c r="F240" t="s">
        <v>18</v>
      </c>
      <c r="G240" t="str">
        <f>"U16"</f>
        <v>U16</v>
      </c>
      <c r="H240" t="str">
        <f>"-50"</f>
        <v>-50</v>
      </c>
      <c r="I240" t="str">
        <f>"0179889"</f>
        <v>0179889</v>
      </c>
      <c r="J240" t="str">
        <f>"Yes"</f>
        <v>Yes</v>
      </c>
      <c r="K240" t="str">
        <f>"Quebec"</f>
        <v>Quebec</v>
      </c>
      <c r="N240" t="s">
        <v>256</v>
      </c>
    </row>
    <row r="241" spans="1:14" hidden="1" x14ac:dyDescent="0.25">
      <c r="A241" t="str">
        <f>"Edouard"</f>
        <v>Edouard</v>
      </c>
      <c r="B241" t="str">
        <f>"Scorteanu"</f>
        <v>Scorteanu</v>
      </c>
      <c r="C241" t="str">
        <f>"Shidokan"</f>
        <v>Shidokan</v>
      </c>
      <c r="D241" t="str">
        <f>"M"</f>
        <v>M</v>
      </c>
      <c r="E241" t="s">
        <v>14</v>
      </c>
      <c r="F241" t="s">
        <v>64</v>
      </c>
      <c r="G241" t="str">
        <f>"U14"</f>
        <v>U14</v>
      </c>
      <c r="H241" t="str">
        <f>"-34"</f>
        <v>-34</v>
      </c>
      <c r="I241" t="str">
        <f>"0179920"</f>
        <v>0179920</v>
      </c>
      <c r="J241" t="str">
        <f>"Yes"</f>
        <v>Yes</v>
      </c>
      <c r="K241" t="str">
        <f>"Quebec"</f>
        <v>Quebec</v>
      </c>
      <c r="N241" t="s">
        <v>255</v>
      </c>
    </row>
    <row r="242" spans="1:14" hidden="1" x14ac:dyDescent="0.25">
      <c r="A242" t="str">
        <f>"Nicolas"</f>
        <v>Nicolas</v>
      </c>
      <c r="B242" t="str">
        <f>"Dubé"</f>
        <v>Dubé</v>
      </c>
      <c r="C242" t="str">
        <f>"Univestrie/donini"</f>
        <v>Univestrie/donini</v>
      </c>
      <c r="D242" t="str">
        <f>"M"</f>
        <v>M</v>
      </c>
      <c r="E242" t="s">
        <v>262</v>
      </c>
      <c r="F242" t="s">
        <v>30</v>
      </c>
      <c r="G242" t="str">
        <f>"Master"</f>
        <v>Master</v>
      </c>
      <c r="H242" t="str">
        <f>"-66"</f>
        <v>-66</v>
      </c>
      <c r="I242" t="str">
        <f>"0010280"</f>
        <v>0010280</v>
      </c>
      <c r="J242" t="str">
        <f>"Yes"</f>
        <v>Yes</v>
      </c>
      <c r="K242" t="str">
        <f>"Quebec"</f>
        <v>Quebec</v>
      </c>
      <c r="M242" t="str">
        <f>""</f>
        <v/>
      </c>
      <c r="N242" t="s">
        <v>270</v>
      </c>
    </row>
    <row r="243" spans="1:14" hidden="1" x14ac:dyDescent="0.25">
      <c r="A243" t="s">
        <v>271</v>
      </c>
      <c r="B243" t="s">
        <v>272</v>
      </c>
      <c r="C243" t="s">
        <v>59</v>
      </c>
      <c r="D243" t="s">
        <v>52</v>
      </c>
      <c r="E243" t="s">
        <v>60</v>
      </c>
      <c r="F243" t="s">
        <v>15</v>
      </c>
      <c r="G243" t="s">
        <v>61</v>
      </c>
      <c r="H243">
        <v>-33</v>
      </c>
      <c r="I243" t="s">
        <v>273</v>
      </c>
      <c r="J243" t="s">
        <v>46</v>
      </c>
      <c r="K243" t="s">
        <v>47</v>
      </c>
      <c r="N243" t="s">
        <v>23</v>
      </c>
    </row>
    <row r="244" spans="1:14" hidden="1" x14ac:dyDescent="0.25">
      <c r="A244" t="str">
        <f>"Ali"</f>
        <v>Ali</v>
      </c>
      <c r="B244" t="str">
        <f>"Forest"</f>
        <v>Forest</v>
      </c>
      <c r="C244" t="str">
        <f>"Kiseki Judo"</f>
        <v>Kiseki Judo</v>
      </c>
      <c r="D244" t="str">
        <f>"M"</f>
        <v>M</v>
      </c>
      <c r="E244" t="s">
        <v>60</v>
      </c>
      <c r="F244" t="s">
        <v>37</v>
      </c>
      <c r="G244" t="str">
        <f>"U12"</f>
        <v>U12</v>
      </c>
      <c r="H244" t="str">
        <f>"-36"</f>
        <v>-36</v>
      </c>
      <c r="I244" t="str">
        <f>"0225702"</f>
        <v>0225702</v>
      </c>
      <c r="J244" t="str">
        <f>"Yes"</f>
        <v>Yes</v>
      </c>
      <c r="K244" t="str">
        <f>"Quebec"</f>
        <v>Quebec</v>
      </c>
      <c r="M244" t="str">
        <f>""</f>
        <v/>
      </c>
      <c r="N244" t="s">
        <v>23</v>
      </c>
    </row>
    <row r="245" spans="1:14" hidden="1" x14ac:dyDescent="0.25">
      <c r="A245" t="s">
        <v>274</v>
      </c>
      <c r="B245" t="s">
        <v>210</v>
      </c>
      <c r="C245" t="s">
        <v>59</v>
      </c>
      <c r="D245" t="s">
        <v>44</v>
      </c>
      <c r="E245" t="s">
        <v>14</v>
      </c>
      <c r="F245" t="s">
        <v>22</v>
      </c>
      <c r="G245" t="s">
        <v>95</v>
      </c>
      <c r="H245" t="str">
        <f>"-36"</f>
        <v>-36</v>
      </c>
      <c r="I245" t="s">
        <v>275</v>
      </c>
      <c r="J245" t="s">
        <v>46</v>
      </c>
      <c r="K245" t="s">
        <v>47</v>
      </c>
      <c r="N245" t="s">
        <v>170</v>
      </c>
    </row>
    <row r="246" spans="1:14" hidden="1" x14ac:dyDescent="0.25">
      <c r="A246" t="str">
        <f>"Catherine"</f>
        <v>Catherine</v>
      </c>
      <c r="B246" t="str">
        <f>"Toshkov"</f>
        <v>Toshkov</v>
      </c>
      <c r="C246" t="str">
        <f>"Boucherville"</f>
        <v>Boucherville</v>
      </c>
      <c r="D246" t="str">
        <f>"F"</f>
        <v>F</v>
      </c>
      <c r="E246" t="s">
        <v>32</v>
      </c>
      <c r="F246" t="s">
        <v>33</v>
      </c>
      <c r="G246" t="str">
        <f>"U16"</f>
        <v>U16</v>
      </c>
      <c r="H246" t="str">
        <f>"-48"</f>
        <v>-48</v>
      </c>
      <c r="I246" t="str">
        <f>"0194068"</f>
        <v>0194068</v>
      </c>
      <c r="J246" t="str">
        <f>"Yes"</f>
        <v>Yes</v>
      </c>
      <c r="K246" t="str">
        <f>"Quebec"</f>
        <v>Quebec</v>
      </c>
      <c r="M246" t="str">
        <f>""</f>
        <v/>
      </c>
      <c r="N246" t="s">
        <v>215</v>
      </c>
    </row>
    <row r="247" spans="1:14" hidden="1" x14ac:dyDescent="0.25">
      <c r="A247" t="str">
        <f>"Meagan"</f>
        <v>Meagan</v>
      </c>
      <c r="B247" t="str">
        <f>"Savard"</f>
        <v>Savard</v>
      </c>
      <c r="C247" t="str">
        <f>"Judokas Jonquière"</f>
        <v>Judokas Jonquière</v>
      </c>
      <c r="D247" t="str">
        <f>"F"</f>
        <v>F</v>
      </c>
      <c r="E247" t="s">
        <v>38</v>
      </c>
      <c r="F247" t="s">
        <v>39</v>
      </c>
      <c r="G247" t="str">
        <f>"U14"</f>
        <v>U14</v>
      </c>
      <c r="H247" t="str">
        <f>"-48"</f>
        <v>-48</v>
      </c>
      <c r="I247" t="str">
        <f>"0202173"</f>
        <v>0202173</v>
      </c>
      <c r="J247" t="str">
        <f>"Yes"</f>
        <v>Yes</v>
      </c>
      <c r="K247" t="str">
        <f>"Quebec"</f>
        <v>Quebec</v>
      </c>
      <c r="N247" t="s">
        <v>240</v>
      </c>
    </row>
    <row r="248" spans="1:14" hidden="1" x14ac:dyDescent="0.25">
      <c r="A248" t="s">
        <v>276</v>
      </c>
      <c r="B248" t="s">
        <v>228</v>
      </c>
      <c r="C248" t="s">
        <v>59</v>
      </c>
      <c r="D248" t="s">
        <v>44</v>
      </c>
      <c r="E248" t="s">
        <v>32</v>
      </c>
      <c r="F248" t="s">
        <v>15</v>
      </c>
      <c r="G248" t="s">
        <v>151</v>
      </c>
      <c r="H248">
        <v>-48</v>
      </c>
      <c r="I248" t="s">
        <v>277</v>
      </c>
      <c r="J248" t="s">
        <v>46</v>
      </c>
      <c r="K248" t="s">
        <v>47</v>
      </c>
      <c r="N248" s="2" t="s">
        <v>257</v>
      </c>
    </row>
    <row r="249" spans="1:14" hidden="1" x14ac:dyDescent="0.25">
      <c r="A249" t="str">
        <f>"Shane"</f>
        <v>Shane</v>
      </c>
      <c r="B249" t="str">
        <f>"Lewis"</f>
        <v>Lewis</v>
      </c>
      <c r="C249" t="str">
        <f>"Perrot Shima"</f>
        <v>Perrot Shima</v>
      </c>
      <c r="D249" t="str">
        <f>"M"</f>
        <v>M</v>
      </c>
      <c r="E249" t="s">
        <v>24</v>
      </c>
      <c r="F249" t="s">
        <v>18</v>
      </c>
      <c r="G249" t="s">
        <v>151</v>
      </c>
      <c r="H249" t="str">
        <f>"-50"</f>
        <v>-50</v>
      </c>
      <c r="I249" t="str">
        <f>"0193668"</f>
        <v>0193668</v>
      </c>
      <c r="J249" t="str">
        <f>"Yes"</f>
        <v>Yes</v>
      </c>
      <c r="K249" t="str">
        <f>"Quebec"</f>
        <v>Quebec</v>
      </c>
      <c r="M249" t="str">
        <f>"2 divisions : U16 + U18"</f>
        <v>2 divisions : U16 + U18</v>
      </c>
      <c r="N249" t="s">
        <v>256</v>
      </c>
    </row>
    <row r="250" spans="1:14" hidden="1" x14ac:dyDescent="0.25">
      <c r="A250" t="s">
        <v>278</v>
      </c>
      <c r="B250" t="s">
        <v>279</v>
      </c>
      <c r="C250" t="s">
        <v>59</v>
      </c>
      <c r="D250" t="s">
        <v>52</v>
      </c>
      <c r="E250" t="s">
        <v>32</v>
      </c>
      <c r="F250" t="s">
        <v>15</v>
      </c>
      <c r="G250" t="s">
        <v>151</v>
      </c>
      <c r="H250">
        <v>-46</v>
      </c>
      <c r="I250" t="s">
        <v>280</v>
      </c>
      <c r="J250" t="s">
        <v>46</v>
      </c>
      <c r="K250" t="s">
        <v>47</v>
      </c>
      <c r="N250" t="s">
        <v>264</v>
      </c>
    </row>
    <row r="251" spans="1:14" hidden="1" x14ac:dyDescent="0.25">
      <c r="A251" t="str">
        <f>"Jacob"</f>
        <v>Jacob</v>
      </c>
      <c r="B251" t="str">
        <f>"Kompf"</f>
        <v>Kompf</v>
      </c>
      <c r="C251" t="str">
        <f>"CMR Saint-Jean"</f>
        <v>CMR Saint-Jean</v>
      </c>
      <c r="D251" t="str">
        <f>"M"</f>
        <v>M</v>
      </c>
      <c r="E251" t="s">
        <v>281</v>
      </c>
      <c r="F251" t="s">
        <v>37</v>
      </c>
      <c r="G251" t="str">
        <f>"U21/Senior Mudansha"</f>
        <v>U21/Senior Mudansha</v>
      </c>
      <c r="H251" s="2">
        <v>-73</v>
      </c>
      <c r="I251" t="str">
        <f>"0409439"</f>
        <v>0409439</v>
      </c>
      <c r="J251" t="str">
        <f>"Yes"</f>
        <v>Yes</v>
      </c>
      <c r="K251" t="str">
        <f>"Quebec"</f>
        <v>Quebec</v>
      </c>
      <c r="N251" s="2" t="s">
        <v>282</v>
      </c>
    </row>
    <row r="252" spans="1:14" hidden="1" x14ac:dyDescent="0.25">
      <c r="A252" t="str">
        <f>"Edouard"</f>
        <v>Edouard</v>
      </c>
      <c r="B252" t="str">
        <f>"Scorteanu"</f>
        <v>Scorteanu</v>
      </c>
      <c r="C252" t="str">
        <f>"Shidokan"</f>
        <v>Shidokan</v>
      </c>
      <c r="D252" t="str">
        <f>"M"</f>
        <v>M</v>
      </c>
      <c r="E252" t="s">
        <v>14</v>
      </c>
      <c r="F252" t="s">
        <v>64</v>
      </c>
      <c r="G252" t="str">
        <f>"U14"</f>
        <v>U14</v>
      </c>
      <c r="H252" t="str">
        <f>"-34"</f>
        <v>-34</v>
      </c>
      <c r="I252" t="str">
        <f>"0179920"</f>
        <v>0179920</v>
      </c>
      <c r="J252" t="str">
        <f>"Yes"</f>
        <v>Yes</v>
      </c>
      <c r="K252" t="str">
        <f>"Quebec"</f>
        <v>Quebec</v>
      </c>
      <c r="N252" t="s">
        <v>255</v>
      </c>
    </row>
    <row r="253" spans="1:14" hidden="1" x14ac:dyDescent="0.25">
      <c r="A253" t="str">
        <f>"Alexis"</f>
        <v>Alexis</v>
      </c>
      <c r="B253" t="str">
        <f>"Bouchard"</f>
        <v>Bouchard</v>
      </c>
      <c r="C253" t="str">
        <f>"Institut Judo Chicoutimi"</f>
        <v>Institut Judo Chicoutimi</v>
      </c>
      <c r="D253" t="str">
        <f>"M"</f>
        <v>M</v>
      </c>
      <c r="E253" t="s">
        <v>14</v>
      </c>
      <c r="F253" t="s">
        <v>37</v>
      </c>
      <c r="G253" t="str">
        <f>"U14"</f>
        <v>U14</v>
      </c>
      <c r="H253" t="str">
        <f>"-38"</f>
        <v>-38</v>
      </c>
      <c r="I253" t="str">
        <f>"0223614"</f>
        <v>0223614</v>
      </c>
      <c r="J253" t="str">
        <f>"Yes"</f>
        <v>Yes</v>
      </c>
      <c r="K253" t="str">
        <f>"Quebec"</f>
        <v>Quebec</v>
      </c>
      <c r="N253" t="s">
        <v>283</v>
      </c>
    </row>
    <row r="254" spans="1:14" x14ac:dyDescent="0.25">
      <c r="A254" t="str">
        <f>"Pierre-Henry"</f>
        <v>Pierre-Henry</v>
      </c>
      <c r="B254" t="str">
        <f>"Quiedeville"</f>
        <v>Quiedeville</v>
      </c>
      <c r="C254" t="str">
        <f>"Vieille Capitale"</f>
        <v>Vieille Capitale</v>
      </c>
      <c r="D254" t="str">
        <f>"M"</f>
        <v>M</v>
      </c>
      <c r="E254" t="s">
        <v>17</v>
      </c>
      <c r="F254" t="s">
        <v>30</v>
      </c>
      <c r="G254" t="str">
        <f>"U18"</f>
        <v>U18</v>
      </c>
      <c r="H254" t="str">
        <f>"-60"</f>
        <v>-60</v>
      </c>
      <c r="I254" t="str">
        <f>"0223464"</f>
        <v>0223464</v>
      </c>
      <c r="J254" t="str">
        <f>"Yes"</f>
        <v>Yes</v>
      </c>
      <c r="K254" t="str">
        <f>"Quebec"</f>
        <v>Quebec</v>
      </c>
      <c r="M254" t="str">
        <f>""</f>
        <v/>
      </c>
      <c r="N254" t="s">
        <v>194</v>
      </c>
    </row>
    <row r="255" spans="1:14" hidden="1" x14ac:dyDescent="0.25">
      <c r="A255" t="str">
        <f>"Eliott"</f>
        <v>Eliott</v>
      </c>
      <c r="B255" t="str">
        <f>"Dube"</f>
        <v>Dube</v>
      </c>
      <c r="C255" t="str">
        <f>"Tani "</f>
        <v xml:space="preserve">Tani </v>
      </c>
      <c r="D255" t="str">
        <f>"M"</f>
        <v>M</v>
      </c>
      <c r="E255" t="s">
        <v>14</v>
      </c>
      <c r="F255" t="s">
        <v>37</v>
      </c>
      <c r="G255" t="str">
        <f>"U14"</f>
        <v>U14</v>
      </c>
      <c r="H255" t="str">
        <f>"-38"</f>
        <v>-38</v>
      </c>
      <c r="I255" t="str">
        <f>"0212133"</f>
        <v>0212133</v>
      </c>
      <c r="J255" t="str">
        <f>"Yes"</f>
        <v>Yes</v>
      </c>
      <c r="K255" t="str">
        <f>"Quebec"</f>
        <v>Quebec</v>
      </c>
      <c r="N255" t="s">
        <v>283</v>
      </c>
    </row>
    <row r="256" spans="1:14" hidden="1" x14ac:dyDescent="0.25">
      <c r="A256" t="str">
        <f>"Antoine"</f>
        <v>Antoine</v>
      </c>
      <c r="B256" t="str">
        <f>"Gilbert"</f>
        <v>Gilbert</v>
      </c>
      <c r="C256" t="str">
        <f>"Seiko"</f>
        <v>Seiko</v>
      </c>
      <c r="D256" t="str">
        <f>"M"</f>
        <v>M</v>
      </c>
      <c r="E256" t="s">
        <v>14</v>
      </c>
      <c r="F256" t="s">
        <v>15</v>
      </c>
      <c r="G256" t="str">
        <f>"U14"</f>
        <v>U14</v>
      </c>
      <c r="H256" t="str">
        <f>"-38"</f>
        <v>-38</v>
      </c>
      <c r="I256" t="str">
        <f>"0209056"</f>
        <v>0209056</v>
      </c>
      <c r="J256" t="str">
        <f>"Yes"</f>
        <v>Yes</v>
      </c>
      <c r="K256" t="str">
        <f>"Quebec"</f>
        <v>Quebec</v>
      </c>
      <c r="N256" t="s">
        <v>283</v>
      </c>
    </row>
    <row r="257" spans="1:14" x14ac:dyDescent="0.25">
      <c r="A257" t="s">
        <v>284</v>
      </c>
      <c r="B257" t="s">
        <v>285</v>
      </c>
      <c r="C257" t="s">
        <v>286</v>
      </c>
      <c r="D257" t="s">
        <v>52</v>
      </c>
      <c r="E257" t="s">
        <v>24</v>
      </c>
      <c r="F257" t="s">
        <v>39</v>
      </c>
      <c r="G257" t="s">
        <v>25</v>
      </c>
      <c r="H257">
        <v>-60</v>
      </c>
      <c r="I257" t="s">
        <v>287</v>
      </c>
      <c r="J257" t="s">
        <v>46</v>
      </c>
      <c r="K257" t="s">
        <v>47</v>
      </c>
      <c r="M257" t="s">
        <v>48</v>
      </c>
      <c r="N257" t="s">
        <v>194</v>
      </c>
    </row>
    <row r="258" spans="1:14" hidden="1" x14ac:dyDescent="0.25">
      <c r="A258" t="str">
        <f>"Rosalie"</f>
        <v>Rosalie</v>
      </c>
      <c r="B258" t="str">
        <f>"Hudon"</f>
        <v>Hudon</v>
      </c>
      <c r="C258" t="str">
        <f>"Judokas Jonquière"</f>
        <v>Judokas Jonquière</v>
      </c>
      <c r="D258" t="str">
        <f>"F"</f>
        <v>F</v>
      </c>
      <c r="E258" t="s">
        <v>14</v>
      </c>
      <c r="F258" t="s">
        <v>22</v>
      </c>
      <c r="G258" t="str">
        <f>"U14"</f>
        <v>U14</v>
      </c>
      <c r="H258" t="str">
        <f>"-40"</f>
        <v>-40</v>
      </c>
      <c r="I258" t="str">
        <f>"0411486"</f>
        <v>0411486</v>
      </c>
      <c r="J258" t="str">
        <f>"Yes"</f>
        <v>Yes</v>
      </c>
      <c r="K258" t="str">
        <f>"Quebec"</f>
        <v>Quebec</v>
      </c>
      <c r="N258" t="s">
        <v>288</v>
      </c>
    </row>
    <row r="259" spans="1:14" x14ac:dyDescent="0.25">
      <c r="A259" t="s">
        <v>289</v>
      </c>
      <c r="B259" t="s">
        <v>290</v>
      </c>
      <c r="C259" t="s">
        <v>99</v>
      </c>
      <c r="D259" t="s">
        <v>52</v>
      </c>
      <c r="E259" t="s">
        <v>24</v>
      </c>
      <c r="F259" t="s">
        <v>18</v>
      </c>
      <c r="G259" t="s">
        <v>25</v>
      </c>
      <c r="H259">
        <v>-60</v>
      </c>
      <c r="I259" t="s">
        <v>291</v>
      </c>
      <c r="J259" t="s">
        <v>46</v>
      </c>
      <c r="K259" t="s">
        <v>47</v>
      </c>
      <c r="M259" t="s">
        <v>48</v>
      </c>
      <c r="N259" t="s">
        <v>194</v>
      </c>
    </row>
    <row r="260" spans="1:14" hidden="1" x14ac:dyDescent="0.25">
      <c r="A260" t="str">
        <f>"Xavier"</f>
        <v>Xavier</v>
      </c>
      <c r="B260" t="str">
        <f>"Lavoie"</f>
        <v>Lavoie</v>
      </c>
      <c r="C260" t="str">
        <f>"Albatros"</f>
        <v>Albatros</v>
      </c>
      <c r="D260" t="str">
        <f>"M"</f>
        <v>M</v>
      </c>
      <c r="E260" t="s">
        <v>14</v>
      </c>
      <c r="F260" t="s">
        <v>15</v>
      </c>
      <c r="G260" t="str">
        <f>"U14"</f>
        <v>U14</v>
      </c>
      <c r="H260" t="str">
        <f>"-38"</f>
        <v>-38</v>
      </c>
      <c r="I260" t="str">
        <f>"0239537"</f>
        <v>0239537</v>
      </c>
      <c r="J260" t="str">
        <f>"Yes"</f>
        <v>Yes</v>
      </c>
      <c r="K260" t="str">
        <f>"Quebec"</f>
        <v>Quebec</v>
      </c>
      <c r="N260" t="s">
        <v>283</v>
      </c>
    </row>
    <row r="261" spans="1:14" hidden="1" x14ac:dyDescent="0.25">
      <c r="A261" t="str">
        <f>"Genevieve"</f>
        <v>Genevieve</v>
      </c>
      <c r="B261" t="str">
        <f>"Beriault"</f>
        <v>Beriault</v>
      </c>
      <c r="C261" t="str">
        <f>"Bushidokan"</f>
        <v>Bushidokan</v>
      </c>
      <c r="D261" t="str">
        <f>"F"</f>
        <v>F</v>
      </c>
      <c r="E261" t="s">
        <v>32</v>
      </c>
      <c r="F261" t="s">
        <v>33</v>
      </c>
      <c r="G261" t="str">
        <f>"U16"</f>
        <v>U16</v>
      </c>
      <c r="H261" t="str">
        <f>"-52"</f>
        <v>-52</v>
      </c>
      <c r="I261" t="str">
        <f>"0196330"</f>
        <v>0196330</v>
      </c>
      <c r="J261" t="str">
        <f>"Yes"</f>
        <v>Yes</v>
      </c>
      <c r="K261" t="str">
        <f>"Quebec"</f>
        <v>Quebec</v>
      </c>
      <c r="N261" t="s">
        <v>292</v>
      </c>
    </row>
    <row r="262" spans="1:14" hidden="1" x14ac:dyDescent="0.25">
      <c r="A262" t="str">
        <f>"Samuel"</f>
        <v>Samuel</v>
      </c>
      <c r="B262" t="str">
        <f>"Gagnon"</f>
        <v>Gagnon</v>
      </c>
      <c r="C262" t="str">
        <f>"Lévis"</f>
        <v>Lévis</v>
      </c>
      <c r="D262" t="str">
        <f>"M"</f>
        <v>M</v>
      </c>
      <c r="E262" t="s">
        <v>21</v>
      </c>
      <c r="F262" t="s">
        <v>22</v>
      </c>
      <c r="G262" t="str">
        <f>"U12"</f>
        <v>U12</v>
      </c>
      <c r="H262" t="str">
        <f>"-30"</f>
        <v>-30</v>
      </c>
      <c r="I262" t="str">
        <f>"0225083"</f>
        <v>0225083</v>
      </c>
      <c r="J262" t="str">
        <f>"Yes"</f>
        <v>Yes</v>
      </c>
      <c r="K262" t="str">
        <f>"Quebec"</f>
        <v>Quebec</v>
      </c>
      <c r="N262" t="s">
        <v>23</v>
      </c>
    </row>
    <row r="263" spans="1:14" hidden="1" x14ac:dyDescent="0.25">
      <c r="A263" t="str">
        <f>"Charline"</f>
        <v>Charline</v>
      </c>
      <c r="B263" t="str">
        <f>"Bourque"</f>
        <v>Bourque</v>
      </c>
      <c r="C263" t="str">
        <f>"Judo Beauce"</f>
        <v>Judo Beauce</v>
      </c>
      <c r="D263" t="str">
        <f>"F"</f>
        <v>F</v>
      </c>
      <c r="E263" t="s">
        <v>14</v>
      </c>
      <c r="F263" t="s">
        <v>33</v>
      </c>
      <c r="G263" t="str">
        <f>"U14"</f>
        <v>U14</v>
      </c>
      <c r="H263" t="str">
        <f>"-52"</f>
        <v>-52</v>
      </c>
      <c r="I263" t="str">
        <f>"0220924"</f>
        <v>0220924</v>
      </c>
      <c r="J263" t="str">
        <f>"Yes"</f>
        <v>Yes</v>
      </c>
      <c r="K263" t="str">
        <f>"Quebec"</f>
        <v>Quebec</v>
      </c>
      <c r="N263" t="s">
        <v>293</v>
      </c>
    </row>
    <row r="264" spans="1:14" hidden="1" x14ac:dyDescent="0.25">
      <c r="A264" t="str">
        <f>"Isaac"</f>
        <v>Isaac</v>
      </c>
      <c r="B264" t="str">
        <f>"Mongrain"</f>
        <v>Mongrain</v>
      </c>
      <c r="C264" t="str">
        <f>"Seïkidokan"</f>
        <v>Seïkidokan</v>
      </c>
      <c r="D264" t="str">
        <f>"M"</f>
        <v>M</v>
      </c>
      <c r="E264" t="s">
        <v>38</v>
      </c>
      <c r="F264" t="s">
        <v>22</v>
      </c>
      <c r="G264" t="str">
        <f>"U14"</f>
        <v>U14</v>
      </c>
      <c r="H264" t="str">
        <f>"-38"</f>
        <v>-38</v>
      </c>
      <c r="I264" t="str">
        <f>"0231309"</f>
        <v>0231309</v>
      </c>
      <c r="J264" t="str">
        <f>"Yes"</f>
        <v>Yes</v>
      </c>
      <c r="K264" t="str">
        <f>"Quebec"</f>
        <v>Quebec</v>
      </c>
      <c r="M264" t="str">
        <f>""</f>
        <v/>
      </c>
      <c r="N264" t="s">
        <v>283</v>
      </c>
    </row>
    <row r="265" spans="1:14" hidden="1" x14ac:dyDescent="0.25">
      <c r="A265" t="str">
        <f>"Gabriela"</f>
        <v>Gabriela</v>
      </c>
      <c r="B265" t="str">
        <f>"Campos-Mendanha"</f>
        <v>Campos-Mendanha</v>
      </c>
      <c r="C265" t="str">
        <f>"Boucherville"</f>
        <v>Boucherville</v>
      </c>
      <c r="D265" t="str">
        <f>"F"</f>
        <v>F</v>
      </c>
      <c r="E265" t="s">
        <v>32</v>
      </c>
      <c r="F265" t="s">
        <v>64</v>
      </c>
      <c r="G265" t="str">
        <f>"U16"</f>
        <v>U16</v>
      </c>
      <c r="H265" t="str">
        <f>"-52"</f>
        <v>-52</v>
      </c>
      <c r="I265" t="str">
        <f>"0222207"</f>
        <v>0222207</v>
      </c>
      <c r="J265" t="str">
        <f>"Yes"</f>
        <v>Yes</v>
      </c>
      <c r="K265" t="str">
        <f>"Quebec"</f>
        <v>Quebec</v>
      </c>
      <c r="M265" t="str">
        <f>""</f>
        <v/>
      </c>
      <c r="N265" t="s">
        <v>292</v>
      </c>
    </row>
    <row r="266" spans="1:14" x14ac:dyDescent="0.25">
      <c r="A266" t="str">
        <f>"Isaak"</f>
        <v>Isaak</v>
      </c>
      <c r="B266" t="str">
        <f>"St-Hilaire"</f>
        <v>St-Hilaire</v>
      </c>
      <c r="C266" t="str">
        <f>"Seiko"</f>
        <v>Seiko</v>
      </c>
      <c r="D266" t="str">
        <f>"M"</f>
        <v>M</v>
      </c>
      <c r="E266" t="s">
        <v>17</v>
      </c>
      <c r="F266" t="s">
        <v>30</v>
      </c>
      <c r="G266" t="s">
        <v>25</v>
      </c>
      <c r="H266" t="str">
        <f>"-60"</f>
        <v>-60</v>
      </c>
      <c r="I266" t="str">
        <f>"0142363"</f>
        <v>0142363</v>
      </c>
      <c r="J266" t="str">
        <f>"Yes"</f>
        <v>Yes</v>
      </c>
      <c r="K266" t="str">
        <f>"Quebec"</f>
        <v>Quebec</v>
      </c>
      <c r="M266" t="str">
        <f>"2 divisions : U18 + U21/Sénior B"</f>
        <v>2 divisions : U18 + U21/Sénior B</v>
      </c>
      <c r="N266" t="s">
        <v>194</v>
      </c>
    </row>
    <row r="267" spans="1:14" x14ac:dyDescent="0.25">
      <c r="A267" t="str">
        <f>"Eve"</f>
        <v>Eve</v>
      </c>
      <c r="B267" t="str">
        <f>"Galiazzo"</f>
        <v>Galiazzo</v>
      </c>
      <c r="C267" t="s">
        <v>294</v>
      </c>
      <c r="D267" t="str">
        <f>"F"</f>
        <v>F</v>
      </c>
      <c r="E267" t="s">
        <v>17</v>
      </c>
      <c r="F267" t="s">
        <v>64</v>
      </c>
      <c r="G267" t="str">
        <f>"U18"</f>
        <v>U18</v>
      </c>
      <c r="H267" t="str">
        <f>"-52"</f>
        <v>-52</v>
      </c>
      <c r="I267" t="str">
        <f>"0195204"</f>
        <v>0195204</v>
      </c>
      <c r="J267" t="str">
        <f>"Yes"</f>
        <v>Yes</v>
      </c>
      <c r="K267" t="str">
        <f>"Quebec"</f>
        <v>Quebec</v>
      </c>
      <c r="M267" t="str">
        <f>""</f>
        <v/>
      </c>
      <c r="N267" t="s">
        <v>217</v>
      </c>
    </row>
    <row r="268" spans="1:14" hidden="1" x14ac:dyDescent="0.25">
      <c r="A268" t="str">
        <f>"Aurélien"</f>
        <v>Aurélien</v>
      </c>
      <c r="B268" t="str">
        <f>"McDougall"</f>
        <v>McDougall</v>
      </c>
      <c r="C268" t="str">
        <f>"Olympique"</f>
        <v>Olympique</v>
      </c>
      <c r="D268" t="str">
        <f>"M"</f>
        <v>M</v>
      </c>
      <c r="E268" t="s">
        <v>32</v>
      </c>
      <c r="F268" t="s">
        <v>39</v>
      </c>
      <c r="G268" t="str">
        <f>"U16"</f>
        <v>U16</v>
      </c>
      <c r="H268" t="str">
        <f>"-50"</f>
        <v>-50</v>
      </c>
      <c r="I268" t="str">
        <f>"0165633"</f>
        <v>0165633</v>
      </c>
      <c r="J268" t="str">
        <f>"Yes"</f>
        <v>Yes</v>
      </c>
      <c r="K268" t="str">
        <f>"Quebec"</f>
        <v>Quebec</v>
      </c>
      <c r="N268" t="s">
        <v>256</v>
      </c>
    </row>
    <row r="269" spans="1:14" x14ac:dyDescent="0.25">
      <c r="A269" t="str">
        <f>"Félix"</f>
        <v>Félix</v>
      </c>
      <c r="B269" t="str">
        <f>"Archambault"</f>
        <v>Archambault</v>
      </c>
      <c r="C269" t="str">
        <f>"Saint-Hyacinthe"</f>
        <v>Saint-Hyacinthe</v>
      </c>
      <c r="D269" t="str">
        <f>"M"</f>
        <v>M</v>
      </c>
      <c r="E269" t="s">
        <v>17</v>
      </c>
      <c r="F269" t="s">
        <v>18</v>
      </c>
      <c r="G269" t="s">
        <v>25</v>
      </c>
      <c r="H269" t="str">
        <f>"-66"</f>
        <v>-66</v>
      </c>
      <c r="I269" t="str">
        <f>"0161072"</f>
        <v>0161072</v>
      </c>
      <c r="J269" t="str">
        <f>"Yes"</f>
        <v>Yes</v>
      </c>
      <c r="K269" t="str">
        <f>"Quebec"</f>
        <v>Quebec</v>
      </c>
      <c r="M269" t="str">
        <f>"2 divisions : U18 + U21/Sénior B"</f>
        <v>2 divisions : U18 + U21/Sénior B</v>
      </c>
      <c r="N269" t="s">
        <v>295</v>
      </c>
    </row>
    <row r="270" spans="1:14" hidden="1" x14ac:dyDescent="0.25">
      <c r="A270" t="s">
        <v>296</v>
      </c>
      <c r="B270" t="s">
        <v>297</v>
      </c>
      <c r="C270" t="s">
        <v>298</v>
      </c>
      <c r="D270" t="s">
        <v>52</v>
      </c>
      <c r="E270" t="s">
        <v>17</v>
      </c>
      <c r="F270" t="s">
        <v>18</v>
      </c>
      <c r="G270" t="s">
        <v>72</v>
      </c>
      <c r="H270">
        <v>-66</v>
      </c>
      <c r="I270" t="s">
        <v>299</v>
      </c>
      <c r="J270" t="s">
        <v>46</v>
      </c>
      <c r="K270" t="s">
        <v>47</v>
      </c>
      <c r="M270" t="s">
        <v>35</v>
      </c>
      <c r="N270" t="s">
        <v>248</v>
      </c>
    </row>
    <row r="271" spans="1:14" hidden="1" x14ac:dyDescent="0.25">
      <c r="A271" t="str">
        <f>"Noemie"</f>
        <v>Noemie</v>
      </c>
      <c r="B271" t="str">
        <f>"Garand"</f>
        <v>Garand</v>
      </c>
      <c r="C271" t="str">
        <f>"Zenshin"</f>
        <v>Zenshin</v>
      </c>
      <c r="D271" t="str">
        <f>"F"</f>
        <v>F</v>
      </c>
      <c r="E271" t="s">
        <v>21</v>
      </c>
      <c r="F271" t="s">
        <v>90</v>
      </c>
      <c r="G271" t="str">
        <f>"U12"</f>
        <v>U12</v>
      </c>
      <c r="H271" t="str">
        <f>"-39"</f>
        <v>-39</v>
      </c>
      <c r="I271" t="str">
        <f>"0197490"</f>
        <v>0197490</v>
      </c>
      <c r="J271" t="str">
        <f>"Yes"</f>
        <v>Yes</v>
      </c>
      <c r="K271" t="str">
        <f>"Quebec"</f>
        <v>Quebec</v>
      </c>
      <c r="M271" t="str">
        <f>""</f>
        <v/>
      </c>
      <c r="N271" t="s">
        <v>91</v>
      </c>
    </row>
    <row r="272" spans="1:14" x14ac:dyDescent="0.25">
      <c r="A272" t="str">
        <f>"Kenny"</f>
        <v>Kenny</v>
      </c>
      <c r="B272" t="str">
        <f>"Bellemare"</f>
        <v>Bellemare</v>
      </c>
      <c r="C272" t="str">
        <f>"Seïkidokan"</f>
        <v>Seïkidokan</v>
      </c>
      <c r="D272" t="str">
        <f>"M"</f>
        <v>M</v>
      </c>
      <c r="E272" t="s">
        <v>27</v>
      </c>
      <c r="F272" t="s">
        <v>18</v>
      </c>
      <c r="G272" t="str">
        <f>"U18"</f>
        <v>U18</v>
      </c>
      <c r="H272" t="str">
        <f>"-66"</f>
        <v>-66</v>
      </c>
      <c r="I272" t="str">
        <f>"0194142"</f>
        <v>0194142</v>
      </c>
      <c r="J272" t="str">
        <f>"Yes"</f>
        <v>Yes</v>
      </c>
      <c r="K272" t="str">
        <f>"Quebec"</f>
        <v>Quebec</v>
      </c>
      <c r="M272" t="str">
        <f>""</f>
        <v/>
      </c>
      <c r="N272" t="s">
        <v>295</v>
      </c>
    </row>
    <row r="273" spans="1:14" hidden="1" x14ac:dyDescent="0.25">
      <c r="A273" t="str">
        <f>"Justin"</f>
        <v>Justin</v>
      </c>
      <c r="B273" t="str">
        <f>"Lemire"</f>
        <v>Lemire</v>
      </c>
      <c r="C273" t="str">
        <f>"Métropolitain"</f>
        <v>Métropolitain</v>
      </c>
      <c r="D273" t="str">
        <f>"M"</f>
        <v>M</v>
      </c>
      <c r="E273" t="s">
        <v>71</v>
      </c>
      <c r="F273" t="s">
        <v>30</v>
      </c>
      <c r="G273" t="s">
        <v>72</v>
      </c>
      <c r="H273" t="str">
        <f>"-66"</f>
        <v>-66</v>
      </c>
      <c r="I273" t="str">
        <f>"0143882"</f>
        <v>0143882</v>
      </c>
      <c r="J273" t="str">
        <f>"Yes"</f>
        <v>Yes</v>
      </c>
      <c r="K273" t="str">
        <f>"Quebec"</f>
        <v>Quebec</v>
      </c>
      <c r="M273" t="str">
        <f>"2 divisions : U21/Senior B + Senior A"</f>
        <v>2 divisions : U21/Senior B + Senior A</v>
      </c>
      <c r="N273" t="s">
        <v>248</v>
      </c>
    </row>
    <row r="274" spans="1:14" hidden="1" x14ac:dyDescent="0.25">
      <c r="A274" t="str">
        <f>"Jeremy"</f>
        <v>Jeremy</v>
      </c>
      <c r="B274" t="str">
        <f>"Garceau"</f>
        <v>Garceau</v>
      </c>
      <c r="C274" t="str">
        <f>"Shawinigan"</f>
        <v>Shawinigan</v>
      </c>
      <c r="D274" t="str">
        <f>"M"</f>
        <v>M</v>
      </c>
      <c r="E274" t="s">
        <v>60</v>
      </c>
      <c r="F274" t="s">
        <v>22</v>
      </c>
      <c r="G274" t="str">
        <f>"U12"</f>
        <v>U12</v>
      </c>
      <c r="H274" t="str">
        <f>"-25"</f>
        <v>-25</v>
      </c>
      <c r="I274" t="str">
        <f>"0219786"</f>
        <v>0219786</v>
      </c>
      <c r="J274" t="str">
        <f>"Yes"</f>
        <v>Yes</v>
      </c>
      <c r="K274" t="str">
        <f>"Quebec"</f>
        <v>Quebec</v>
      </c>
      <c r="N274" t="s">
        <v>23</v>
      </c>
    </row>
    <row r="275" spans="1:14" hidden="1" x14ac:dyDescent="0.25">
      <c r="A275" t="str">
        <f>"Loriane"</f>
        <v>Loriane</v>
      </c>
      <c r="B275" t="str">
        <f>"Lampron"</f>
        <v>Lampron</v>
      </c>
      <c r="C275" t="str">
        <f>"Judo Victo"</f>
        <v>Judo Victo</v>
      </c>
      <c r="D275" t="str">
        <f>"F"</f>
        <v>F</v>
      </c>
      <c r="E275" t="s">
        <v>38</v>
      </c>
      <c r="F275" t="s">
        <v>37</v>
      </c>
      <c r="G275" t="str">
        <f>"U14"</f>
        <v>U14</v>
      </c>
      <c r="H275" t="str">
        <f>"-40"</f>
        <v>-40</v>
      </c>
      <c r="I275" t="str">
        <f>"0233767"</f>
        <v>0233767</v>
      </c>
      <c r="J275" t="str">
        <f>"Yes"</f>
        <v>Yes</v>
      </c>
      <c r="K275" t="str">
        <f>"Quebec"</f>
        <v>Quebec</v>
      </c>
      <c r="N275" t="s">
        <v>288</v>
      </c>
    </row>
    <row r="276" spans="1:14" x14ac:dyDescent="0.25">
      <c r="A276" t="str">
        <f>"Marie-Pier"</f>
        <v>Marie-Pier</v>
      </c>
      <c r="B276" t="str">
        <f>"Gingras"</f>
        <v>Gingras</v>
      </c>
      <c r="C276" t="str">
        <f>"Vieille Capitale"</f>
        <v>Vieille Capitale</v>
      </c>
      <c r="D276" t="str">
        <f>"F"</f>
        <v>F</v>
      </c>
      <c r="E276" t="s">
        <v>27</v>
      </c>
      <c r="F276" t="s">
        <v>18</v>
      </c>
      <c r="G276" t="s">
        <v>25</v>
      </c>
      <c r="H276" t="str">
        <f>"-52"</f>
        <v>-52</v>
      </c>
      <c r="I276" t="str">
        <f>"0230466"</f>
        <v>0230466</v>
      </c>
      <c r="J276" t="str">
        <f>"Yes"</f>
        <v>Yes</v>
      </c>
      <c r="K276" t="str">
        <f>"Quebec"</f>
        <v>Quebec</v>
      </c>
      <c r="M276" t="str">
        <f>"2 divisions : U18 + U21/Sénior B"</f>
        <v>2 divisions : U18 + U21/Sénior B</v>
      </c>
      <c r="N276" t="s">
        <v>217</v>
      </c>
    </row>
    <row r="277" spans="1:14" hidden="1" x14ac:dyDescent="0.25">
      <c r="A277" t="str">
        <f>"Benjamin"</f>
        <v>Benjamin</v>
      </c>
      <c r="B277" t="str">
        <f>"Nepton"</f>
        <v>Nepton</v>
      </c>
      <c r="C277" t="str">
        <f>"Judokas Jonquière"</f>
        <v>Judokas Jonquière</v>
      </c>
      <c r="D277" t="str">
        <f>"M"</f>
        <v>M</v>
      </c>
      <c r="E277" t="s">
        <v>14</v>
      </c>
      <c r="F277" t="s">
        <v>22</v>
      </c>
      <c r="G277" t="str">
        <f>"U14"</f>
        <v>U14</v>
      </c>
      <c r="H277" t="str">
        <f>"-38"</f>
        <v>-38</v>
      </c>
      <c r="I277" t="str">
        <f>"0204416"</f>
        <v>0204416</v>
      </c>
      <c r="J277" t="str">
        <f>"Yes"</f>
        <v>Yes</v>
      </c>
      <c r="K277" t="str">
        <f>"Quebec"</f>
        <v>Quebec</v>
      </c>
      <c r="N277" t="s">
        <v>283</v>
      </c>
    </row>
    <row r="278" spans="1:14" x14ac:dyDescent="0.25">
      <c r="A278" t="str">
        <f>"Abdessamad"</f>
        <v>Abdessamad</v>
      </c>
      <c r="B278" t="str">
        <f>"Borsla"</f>
        <v>Borsla</v>
      </c>
      <c r="C278" t="s">
        <v>81</v>
      </c>
      <c r="D278" t="str">
        <f>"M"</f>
        <v>M</v>
      </c>
      <c r="E278" t="s">
        <v>17</v>
      </c>
      <c r="F278" t="s">
        <v>18</v>
      </c>
      <c r="G278" t="s">
        <v>25</v>
      </c>
      <c r="H278" t="str">
        <f>"-66"</f>
        <v>-66</v>
      </c>
      <c r="I278" t="str">
        <f>"0175408"</f>
        <v>0175408</v>
      </c>
      <c r="J278" t="str">
        <f>"Yes"</f>
        <v>Yes</v>
      </c>
      <c r="K278" t="str">
        <f>"Quebec"</f>
        <v>Quebec</v>
      </c>
      <c r="M278" t="str">
        <f>"2 divisions : U18 + U21/Sénior B"</f>
        <v>2 divisions : U18 + U21/Sénior B</v>
      </c>
      <c r="N278" t="s">
        <v>295</v>
      </c>
    </row>
    <row r="279" spans="1:14" x14ac:dyDescent="0.25">
      <c r="A279" t="str">
        <f>"Rosalie"</f>
        <v>Rosalie</v>
      </c>
      <c r="B279" t="str">
        <f>"Labonte"</f>
        <v>Labonte</v>
      </c>
      <c r="C279" t="str">
        <f>"Do-Raku"</f>
        <v>Do-Raku</v>
      </c>
      <c r="D279" t="str">
        <f>"F"</f>
        <v>F</v>
      </c>
      <c r="E279" t="s">
        <v>27</v>
      </c>
      <c r="F279" t="s">
        <v>37</v>
      </c>
      <c r="G279" t="str">
        <f>"U18"</f>
        <v>U18</v>
      </c>
      <c r="H279" t="str">
        <f>"-70"</f>
        <v>-70</v>
      </c>
      <c r="I279" t="str">
        <f>"0231811"</f>
        <v>0231811</v>
      </c>
      <c r="J279" t="str">
        <f>"Yes"</f>
        <v>Yes</v>
      </c>
      <c r="K279" t="str">
        <f>"Quebec"</f>
        <v>Quebec</v>
      </c>
      <c r="M279" t="s">
        <v>110</v>
      </c>
      <c r="N279" t="s">
        <v>300</v>
      </c>
    </row>
    <row r="280" spans="1:14" hidden="1" x14ac:dyDescent="0.25">
      <c r="A280" t="str">
        <f>"Anthony"</f>
        <v>Anthony</v>
      </c>
      <c r="B280" t="str">
        <f>"Gaudreault"</f>
        <v>Gaudreault</v>
      </c>
      <c r="C280" t="str">
        <f>"Zenshin"</f>
        <v>Zenshin</v>
      </c>
      <c r="D280" t="str">
        <f>"M"</f>
        <v>M</v>
      </c>
      <c r="E280" t="s">
        <v>21</v>
      </c>
      <c r="F280" t="s">
        <v>37</v>
      </c>
      <c r="G280" t="str">
        <f>"U12"</f>
        <v>U12</v>
      </c>
      <c r="H280" t="str">
        <f>"-30"</f>
        <v>-30</v>
      </c>
      <c r="I280" t="str">
        <f>"0200339"</f>
        <v>0200339</v>
      </c>
      <c r="J280" t="str">
        <f>"Yes"</f>
        <v>Yes</v>
      </c>
      <c r="K280" t="str">
        <f>"Quebec"</f>
        <v>Quebec</v>
      </c>
      <c r="N280" t="s">
        <v>23</v>
      </c>
    </row>
    <row r="281" spans="1:14" hidden="1" x14ac:dyDescent="0.25">
      <c r="A281" t="str">
        <f>"Malick"</f>
        <v>Malick</v>
      </c>
      <c r="B281" t="str">
        <f>"Gaudreault"</f>
        <v>Gaudreault</v>
      </c>
      <c r="C281" t="str">
        <f>"Albatros"</f>
        <v>Albatros</v>
      </c>
      <c r="D281" t="str">
        <f>"M"</f>
        <v>M</v>
      </c>
      <c r="E281" t="s">
        <v>21</v>
      </c>
      <c r="F281" t="s">
        <v>37</v>
      </c>
      <c r="G281" t="str">
        <f>"U12"</f>
        <v>U12</v>
      </c>
      <c r="H281" t="str">
        <f>"-30"</f>
        <v>-30</v>
      </c>
      <c r="I281" t="str">
        <f>"0215934"</f>
        <v>0215934</v>
      </c>
      <c r="J281" t="str">
        <f>"Yes"</f>
        <v>Yes</v>
      </c>
      <c r="K281" t="str">
        <f>"Quebec"</f>
        <v>Quebec</v>
      </c>
      <c r="N281" t="s">
        <v>23</v>
      </c>
    </row>
    <row r="282" spans="1:14" hidden="1" x14ac:dyDescent="0.25">
      <c r="A282" t="str">
        <f>"Xavier"</f>
        <v>Xavier</v>
      </c>
      <c r="B282" t="str">
        <f>"Poirier"</f>
        <v>Poirier</v>
      </c>
      <c r="C282" t="str">
        <f>"Sept-Iles"</f>
        <v>Sept-Iles</v>
      </c>
      <c r="D282" t="str">
        <f>"M"</f>
        <v>M</v>
      </c>
      <c r="E282" t="s">
        <v>24</v>
      </c>
      <c r="F282" t="s">
        <v>39</v>
      </c>
      <c r="G282" t="str">
        <f>"U16"</f>
        <v>U16</v>
      </c>
      <c r="H282" t="str">
        <f>"-50"</f>
        <v>-50</v>
      </c>
      <c r="I282" t="str">
        <f>"0145858"</f>
        <v>0145858</v>
      </c>
      <c r="J282" t="str">
        <f>"Yes"</f>
        <v>Yes</v>
      </c>
      <c r="K282" t="str">
        <f>"Quebec"</f>
        <v>Quebec</v>
      </c>
      <c r="N282" t="s">
        <v>256</v>
      </c>
    </row>
    <row r="283" spans="1:14" hidden="1" x14ac:dyDescent="0.25">
      <c r="A283" t="str">
        <f>"Maxcy"</f>
        <v>Maxcy</v>
      </c>
      <c r="B283" t="str">
        <f>"Bagland"</f>
        <v>Bagland</v>
      </c>
      <c r="C283" t="str">
        <f>"Kiseki Judo"</f>
        <v>Kiseki Judo</v>
      </c>
      <c r="D283" t="str">
        <f>"M"</f>
        <v>M</v>
      </c>
      <c r="E283" t="s">
        <v>24</v>
      </c>
      <c r="F283" t="s">
        <v>37</v>
      </c>
      <c r="G283" t="str">
        <f>"U16"</f>
        <v>U16</v>
      </c>
      <c r="H283" t="str">
        <f>"-55"</f>
        <v>-55</v>
      </c>
      <c r="I283" t="str">
        <f>"0225694"</f>
        <v>0225694</v>
      </c>
      <c r="J283" t="str">
        <f>"Yes"</f>
        <v>Yes</v>
      </c>
      <c r="K283" t="str">
        <f>"Quebec"</f>
        <v>Quebec</v>
      </c>
      <c r="M283" t="str">
        <f>""</f>
        <v/>
      </c>
      <c r="N283" t="s">
        <v>301</v>
      </c>
    </row>
    <row r="284" spans="1:14" x14ac:dyDescent="0.25">
      <c r="A284" t="str">
        <f>"Benjamin"</f>
        <v>Benjamin</v>
      </c>
      <c r="B284" t="str">
        <f>"Brassard"</f>
        <v>Brassard</v>
      </c>
      <c r="C284" t="str">
        <f>"Vieille Capitale"</f>
        <v>Vieille Capitale</v>
      </c>
      <c r="D284" t="str">
        <f>"M"</f>
        <v>M</v>
      </c>
      <c r="E284" t="s">
        <v>17</v>
      </c>
      <c r="F284" t="s">
        <v>18</v>
      </c>
      <c r="G284" t="str">
        <f>"U18"</f>
        <v>U18</v>
      </c>
      <c r="H284" t="str">
        <f>"-66"</f>
        <v>-66</v>
      </c>
      <c r="I284" t="str">
        <f>"0151744"</f>
        <v>0151744</v>
      </c>
      <c r="J284" t="str">
        <f>"Yes"</f>
        <v>Yes</v>
      </c>
      <c r="K284" t="str">
        <f>"Quebec"</f>
        <v>Quebec</v>
      </c>
      <c r="M284" t="str">
        <f>""</f>
        <v/>
      </c>
      <c r="N284" t="s">
        <v>295</v>
      </c>
    </row>
    <row r="285" spans="1:14" hidden="1" x14ac:dyDescent="0.25">
      <c r="A285" t="str">
        <f>"Samuel"</f>
        <v>Samuel</v>
      </c>
      <c r="B285" t="str">
        <f>"Lévesque"</f>
        <v>Lévesque</v>
      </c>
      <c r="C285" t="str">
        <f>"Shidokan"</f>
        <v>Shidokan</v>
      </c>
      <c r="D285" t="str">
        <f>"M"</f>
        <v>M</v>
      </c>
      <c r="E285" t="s">
        <v>281</v>
      </c>
      <c r="F285" t="s">
        <v>18</v>
      </c>
      <c r="G285" t="s">
        <v>72</v>
      </c>
      <c r="H285" t="str">
        <f>"-66"</f>
        <v>-66</v>
      </c>
      <c r="I285" t="str">
        <f>"0097193"</f>
        <v>0097193</v>
      </c>
      <c r="J285" t="str">
        <f>"Yes"</f>
        <v>Yes</v>
      </c>
      <c r="K285" t="str">
        <f>"Quebec"</f>
        <v>Quebec</v>
      </c>
      <c r="M285" t="str">
        <f>"2 divisions : U21/Senior B + Senior A"</f>
        <v>2 divisions : U21/Senior B + Senior A</v>
      </c>
      <c r="N285" t="s">
        <v>248</v>
      </c>
    </row>
    <row r="286" spans="1:14" hidden="1" x14ac:dyDescent="0.25">
      <c r="A286" t="str">
        <f>"Patrick"</f>
        <v>Patrick</v>
      </c>
      <c r="B286" t="str">
        <f>"Lam"</f>
        <v>Lam</v>
      </c>
      <c r="C286" t="str">
        <f>"Torii"</f>
        <v>Torii</v>
      </c>
      <c r="D286" t="str">
        <f>"M"</f>
        <v>M</v>
      </c>
      <c r="E286" t="s">
        <v>302</v>
      </c>
      <c r="F286" t="s">
        <v>303</v>
      </c>
      <c r="G286" t="str">
        <f>"Master"</f>
        <v>Master</v>
      </c>
      <c r="H286" t="str">
        <f>"-66"</f>
        <v>-66</v>
      </c>
      <c r="I286" t="str">
        <f>"0010172"</f>
        <v>0010172</v>
      </c>
      <c r="J286" t="str">
        <f>"Yes"</f>
        <v>Yes</v>
      </c>
      <c r="K286" t="str">
        <f>"Quebec"</f>
        <v>Quebec</v>
      </c>
      <c r="M286" t="str">
        <f>""</f>
        <v/>
      </c>
      <c r="N286" t="s">
        <v>270</v>
      </c>
    </row>
    <row r="287" spans="1:14" hidden="1" x14ac:dyDescent="0.25">
      <c r="A287" t="str">
        <f>"Vincent"</f>
        <v>Vincent</v>
      </c>
      <c r="B287" t="str">
        <f>"Gauthier"</f>
        <v>Gauthier</v>
      </c>
      <c r="C287" t="str">
        <f>"Judokas Jonquière"</f>
        <v>Judokas Jonquière</v>
      </c>
      <c r="D287" t="str">
        <f>"M"</f>
        <v>M</v>
      </c>
      <c r="E287" t="s">
        <v>60</v>
      </c>
      <c r="F287" t="s">
        <v>90</v>
      </c>
      <c r="G287" t="str">
        <f>"U12"</f>
        <v>U12</v>
      </c>
      <c r="H287" t="str">
        <f>"-25"</f>
        <v>-25</v>
      </c>
      <c r="I287" t="str">
        <f>"0207185"</f>
        <v>0207185</v>
      </c>
      <c r="J287" t="str">
        <f>"Yes"</f>
        <v>Yes</v>
      </c>
      <c r="K287" t="str">
        <f>"Quebec"</f>
        <v>Quebec</v>
      </c>
      <c r="N287" t="s">
        <v>23</v>
      </c>
    </row>
    <row r="288" spans="1:14" hidden="1" x14ac:dyDescent="0.25">
      <c r="A288" t="str">
        <f>"Samuel"</f>
        <v>Samuel</v>
      </c>
      <c r="B288" t="str">
        <f>"Gauthier"</f>
        <v>Gauthier</v>
      </c>
      <c r="C288" t="str">
        <f>"Seiko"</f>
        <v>Seiko</v>
      </c>
      <c r="D288" t="str">
        <f>"M"</f>
        <v>M</v>
      </c>
      <c r="E288" t="s">
        <v>60</v>
      </c>
      <c r="F288" t="s">
        <v>22</v>
      </c>
      <c r="G288" t="str">
        <f>"U12"</f>
        <v>U12</v>
      </c>
      <c r="H288" t="str">
        <f>"-30"</f>
        <v>-30</v>
      </c>
      <c r="I288" t="str">
        <f>"0209054"</f>
        <v>0209054</v>
      </c>
      <c r="J288" t="str">
        <f>"Yes"</f>
        <v>Yes</v>
      </c>
      <c r="K288" t="str">
        <f>"Quebec"</f>
        <v>Quebec</v>
      </c>
      <c r="N288" t="s">
        <v>23</v>
      </c>
    </row>
    <row r="289" spans="1:14" hidden="1" x14ac:dyDescent="0.25">
      <c r="A289" t="str">
        <f>"Xavier"</f>
        <v>Xavier</v>
      </c>
      <c r="B289" t="str">
        <f>"Robidas"</f>
        <v>Robidas</v>
      </c>
      <c r="C289" t="str">
        <f>"St-Jean Bosco"</f>
        <v>St-Jean Bosco</v>
      </c>
      <c r="D289" t="str">
        <f>"M"</f>
        <v>M</v>
      </c>
      <c r="E289" t="s">
        <v>38</v>
      </c>
      <c r="F289" t="s">
        <v>37</v>
      </c>
      <c r="G289" t="str">
        <f>"U14"</f>
        <v>U14</v>
      </c>
      <c r="H289" t="str">
        <f>"-38"</f>
        <v>-38</v>
      </c>
      <c r="I289" t="str">
        <f>"0227759"</f>
        <v>0227759</v>
      </c>
      <c r="J289" t="str">
        <f>"Yes"</f>
        <v>Yes</v>
      </c>
      <c r="K289" t="str">
        <f>"Quebec"</f>
        <v>Quebec</v>
      </c>
      <c r="M289" t="str">
        <f>""</f>
        <v/>
      </c>
      <c r="N289" t="s">
        <v>283</v>
      </c>
    </row>
    <row r="290" spans="1:14" hidden="1" x14ac:dyDescent="0.25">
      <c r="A290" t="str">
        <f>"Simon"</f>
        <v>Simon</v>
      </c>
      <c r="B290" t="str">
        <f>"Thivierge"</f>
        <v>Thivierge</v>
      </c>
      <c r="C290" t="str">
        <f>"Seiko"</f>
        <v>Seiko</v>
      </c>
      <c r="D290" t="str">
        <f>"M"</f>
        <v>M</v>
      </c>
      <c r="E290" t="s">
        <v>14</v>
      </c>
      <c r="F290" t="s">
        <v>37</v>
      </c>
      <c r="G290" t="str">
        <f>"U14"</f>
        <v>U14</v>
      </c>
      <c r="H290" t="str">
        <f>"-38"</f>
        <v>-38</v>
      </c>
      <c r="I290" t="str">
        <f>"0200073"</f>
        <v>0200073</v>
      </c>
      <c r="J290" t="str">
        <f>"Yes"</f>
        <v>Yes</v>
      </c>
      <c r="K290" t="str">
        <f>"Quebec"</f>
        <v>Quebec</v>
      </c>
      <c r="N290" t="s">
        <v>283</v>
      </c>
    </row>
    <row r="291" spans="1:14" hidden="1" x14ac:dyDescent="0.25">
      <c r="A291" t="s">
        <v>304</v>
      </c>
      <c r="B291" t="s">
        <v>305</v>
      </c>
      <c r="C291" t="s">
        <v>28</v>
      </c>
      <c r="D291" t="s">
        <v>52</v>
      </c>
      <c r="E291" t="s">
        <v>306</v>
      </c>
      <c r="F291" t="s">
        <v>18</v>
      </c>
      <c r="G291" t="s">
        <v>53</v>
      </c>
      <c r="H291">
        <v>-73</v>
      </c>
      <c r="I291" t="s">
        <v>307</v>
      </c>
      <c r="J291" t="s">
        <v>46</v>
      </c>
      <c r="K291" t="s">
        <v>47</v>
      </c>
      <c r="M291" t="s">
        <v>308</v>
      </c>
      <c r="N291" t="s">
        <v>83</v>
      </c>
    </row>
    <row r="292" spans="1:14" hidden="1" x14ac:dyDescent="0.25">
      <c r="A292" t="str">
        <f>"Anne"</f>
        <v>Anne</v>
      </c>
      <c r="B292" t="str">
        <f>"Larochelle"</f>
        <v>Larochelle</v>
      </c>
      <c r="C292" t="s">
        <v>309</v>
      </c>
      <c r="D292" t="str">
        <f>"F"</f>
        <v>F</v>
      </c>
      <c r="E292" t="s">
        <v>14</v>
      </c>
      <c r="F292" t="s">
        <v>37</v>
      </c>
      <c r="G292" t="str">
        <f>"U14"</f>
        <v>U14</v>
      </c>
      <c r="H292" t="str">
        <f>"-40"</f>
        <v>-40</v>
      </c>
      <c r="I292" t="str">
        <f>"0225843"</f>
        <v>0225843</v>
      </c>
      <c r="J292" t="str">
        <f>"Yes"</f>
        <v>Yes</v>
      </c>
      <c r="K292" t="str">
        <f>"Quebec"</f>
        <v>Quebec</v>
      </c>
      <c r="N292" t="s">
        <v>288</v>
      </c>
    </row>
    <row r="293" spans="1:14" hidden="1" x14ac:dyDescent="0.25">
      <c r="A293" t="str">
        <f>"Édouard"</f>
        <v>Édouard</v>
      </c>
      <c r="B293" t="str">
        <f>"Gendron"</f>
        <v>Gendron</v>
      </c>
      <c r="C293" t="str">
        <f>"Baie-Comeau"</f>
        <v>Baie-Comeau</v>
      </c>
      <c r="D293" t="str">
        <f>"M"</f>
        <v>M</v>
      </c>
      <c r="E293" t="s">
        <v>60</v>
      </c>
      <c r="F293" t="s">
        <v>37</v>
      </c>
      <c r="G293" t="str">
        <f>"U12"</f>
        <v>U12</v>
      </c>
      <c r="H293" t="str">
        <f>"-30"</f>
        <v>-30</v>
      </c>
      <c r="I293" t="str">
        <f>"0207025"</f>
        <v>0207025</v>
      </c>
      <c r="J293" t="str">
        <f>"Yes"</f>
        <v>Yes</v>
      </c>
      <c r="K293" t="str">
        <f>"Quebec"</f>
        <v>Quebec</v>
      </c>
      <c r="N293" t="s">
        <v>23</v>
      </c>
    </row>
    <row r="294" spans="1:14" hidden="1" x14ac:dyDescent="0.25">
      <c r="A294" t="str">
        <f>"Benjamin"</f>
        <v>Benjamin</v>
      </c>
      <c r="B294" t="str">
        <f>"Gendron"</f>
        <v>Gendron</v>
      </c>
      <c r="C294" t="str">
        <f>"Judokas Jonquière"</f>
        <v>Judokas Jonquière</v>
      </c>
      <c r="D294" t="str">
        <f>"M"</f>
        <v>M</v>
      </c>
      <c r="E294" t="s">
        <v>60</v>
      </c>
      <c r="F294" t="s">
        <v>15</v>
      </c>
      <c r="G294" t="str">
        <f>"U12"</f>
        <v>U12</v>
      </c>
      <c r="H294" t="str">
        <f>"-55"</f>
        <v>-55</v>
      </c>
      <c r="I294" t="str">
        <f>"0411485"</f>
        <v>0411485</v>
      </c>
      <c r="J294" t="str">
        <f>"Yes"</f>
        <v>Yes</v>
      </c>
      <c r="K294" t="str">
        <f>"Quebec"</f>
        <v>Quebec</v>
      </c>
      <c r="N294" t="s">
        <v>23</v>
      </c>
    </row>
    <row r="295" spans="1:14" hidden="1" x14ac:dyDescent="0.25">
      <c r="A295" t="str">
        <f>"Marie-Jeanne"</f>
        <v>Marie-Jeanne</v>
      </c>
      <c r="B295" t="str">
        <f>"Pelletier"</f>
        <v>Pelletier</v>
      </c>
      <c r="C295" t="str">
        <f>"La Pocatiere"</f>
        <v>La Pocatiere</v>
      </c>
      <c r="D295" t="str">
        <f>"F"</f>
        <v>F</v>
      </c>
      <c r="E295" t="s">
        <v>38</v>
      </c>
      <c r="F295" t="s">
        <v>15</v>
      </c>
      <c r="G295" t="str">
        <f>"U14"</f>
        <v>U14</v>
      </c>
      <c r="H295" t="str">
        <f>"-40"</f>
        <v>-40</v>
      </c>
      <c r="I295" t="str">
        <f>"0233346"</f>
        <v>0233346</v>
      </c>
      <c r="J295" t="str">
        <f>"Yes"</f>
        <v>Yes</v>
      </c>
      <c r="K295" t="str">
        <f>"Quebec"</f>
        <v>Quebec</v>
      </c>
      <c r="N295" t="s">
        <v>288</v>
      </c>
    </row>
    <row r="296" spans="1:14" hidden="1" x14ac:dyDescent="0.25">
      <c r="A296" t="str">
        <f>"Noa"</f>
        <v>Noa</v>
      </c>
      <c r="B296" t="str">
        <f>"Verdier"</f>
        <v>Verdier</v>
      </c>
      <c r="C296" t="str">
        <f>"Zenshin"</f>
        <v>Zenshin</v>
      </c>
      <c r="D296" t="str">
        <f>"M"</f>
        <v>M</v>
      </c>
      <c r="E296" t="s">
        <v>14</v>
      </c>
      <c r="F296" t="s">
        <v>15</v>
      </c>
      <c r="G296" t="str">
        <f>"U14"</f>
        <v>U14</v>
      </c>
      <c r="H296" t="str">
        <f>"-38"</f>
        <v>-38</v>
      </c>
      <c r="I296" t="str">
        <f>"0215773"</f>
        <v>0215773</v>
      </c>
      <c r="J296" t="str">
        <f>"Yes"</f>
        <v>Yes</v>
      </c>
      <c r="K296" t="str">
        <f>"Quebec"</f>
        <v>Quebec</v>
      </c>
      <c r="M296" t="str">
        <f>""</f>
        <v/>
      </c>
      <c r="N296" t="s">
        <v>283</v>
      </c>
    </row>
    <row r="297" spans="1:14" hidden="1" x14ac:dyDescent="0.25">
      <c r="A297" t="str">
        <f>"Antoine"</f>
        <v>Antoine</v>
      </c>
      <c r="B297" t="str">
        <f>"Blouin"</f>
        <v>Blouin</v>
      </c>
      <c r="C297" t="str">
        <f>"CJVR"</f>
        <v>CJVR</v>
      </c>
      <c r="D297" t="str">
        <f>"M"</f>
        <v>M</v>
      </c>
      <c r="E297" t="s">
        <v>38</v>
      </c>
      <c r="F297" t="s">
        <v>107</v>
      </c>
      <c r="G297" t="str">
        <f>"U14"</f>
        <v>U14</v>
      </c>
      <c r="H297" t="str">
        <f>"-38"</f>
        <v>-38</v>
      </c>
      <c r="I297" t="str">
        <f>"0189847"</f>
        <v>0189847</v>
      </c>
      <c r="J297" t="str">
        <f>"Yes"</f>
        <v>Yes</v>
      </c>
      <c r="K297" t="str">
        <f>"Quebec"</f>
        <v>Quebec</v>
      </c>
      <c r="M297" t="str">
        <f>""</f>
        <v/>
      </c>
      <c r="N297" t="s">
        <v>310</v>
      </c>
    </row>
    <row r="298" spans="1:14" hidden="1" x14ac:dyDescent="0.25">
      <c r="A298" t="str">
        <f>"Edward"</f>
        <v>Edward</v>
      </c>
      <c r="B298" t="str">
        <f>"Gilbert"</f>
        <v>Gilbert</v>
      </c>
      <c r="C298" t="str">
        <f>"Seiko"</f>
        <v>Seiko</v>
      </c>
      <c r="D298" t="str">
        <f>"M"</f>
        <v>M</v>
      </c>
      <c r="E298" t="s">
        <v>60</v>
      </c>
      <c r="F298" t="s">
        <v>22</v>
      </c>
      <c r="G298" t="str">
        <f>"U12"</f>
        <v>U12</v>
      </c>
      <c r="H298" t="str">
        <f>"-39"</f>
        <v>-39</v>
      </c>
      <c r="I298" t="str">
        <f>"0209057"</f>
        <v>0209057</v>
      </c>
      <c r="J298" t="str">
        <f>"Yes"</f>
        <v>Yes</v>
      </c>
      <c r="K298" t="str">
        <f>"Quebec"</f>
        <v>Quebec</v>
      </c>
      <c r="N298" t="s">
        <v>23</v>
      </c>
    </row>
    <row r="299" spans="1:14" hidden="1" x14ac:dyDescent="0.25">
      <c r="A299" t="str">
        <f>"Alexis"</f>
        <v>Alexis</v>
      </c>
      <c r="B299" t="str">
        <f>"Brassard"</f>
        <v>Brassard</v>
      </c>
      <c r="C299" t="str">
        <f>"Baie-Comeau"</f>
        <v>Baie-Comeau</v>
      </c>
      <c r="D299" t="str">
        <f>"M"</f>
        <v>M</v>
      </c>
      <c r="E299" t="s">
        <v>14</v>
      </c>
      <c r="F299" t="s">
        <v>64</v>
      </c>
      <c r="G299" t="str">
        <f>"U14"</f>
        <v>U14</v>
      </c>
      <c r="H299" t="str">
        <f>"-38"</f>
        <v>-38</v>
      </c>
      <c r="I299" t="str">
        <f>"0212047"</f>
        <v>0212047</v>
      </c>
      <c r="J299" t="str">
        <f>"Yes"</f>
        <v>Yes</v>
      </c>
      <c r="K299" t="str">
        <f>"Quebec"</f>
        <v>Quebec</v>
      </c>
      <c r="N299" t="s">
        <v>310</v>
      </c>
    </row>
    <row r="300" spans="1:14" hidden="1" x14ac:dyDescent="0.25">
      <c r="A300" t="str">
        <f>"Iliass"</f>
        <v>Iliass</v>
      </c>
      <c r="B300" t="str">
        <f>"Chennoufi"</f>
        <v>Chennoufi</v>
      </c>
      <c r="C300" t="str">
        <f>"Métropolitain"</f>
        <v>Métropolitain</v>
      </c>
      <c r="D300" t="str">
        <f>"M"</f>
        <v>M</v>
      </c>
      <c r="E300" t="s">
        <v>14</v>
      </c>
      <c r="F300" t="s">
        <v>64</v>
      </c>
      <c r="G300" t="str">
        <f>"U14"</f>
        <v>U14</v>
      </c>
      <c r="H300" t="str">
        <f>"-38"</f>
        <v>-38</v>
      </c>
      <c r="I300" t="str">
        <f>"0199931"</f>
        <v>0199931</v>
      </c>
      <c r="J300" t="str">
        <f>"Yes"</f>
        <v>Yes</v>
      </c>
      <c r="K300" t="str">
        <f>"Quebec"</f>
        <v>Quebec</v>
      </c>
      <c r="M300" t="str">
        <f>""</f>
        <v/>
      </c>
      <c r="N300" t="s">
        <v>310</v>
      </c>
    </row>
    <row r="301" spans="1:14" hidden="1" x14ac:dyDescent="0.25">
      <c r="A301" t="str">
        <f>"Marie-Soleil"</f>
        <v>Marie-Soleil</v>
      </c>
      <c r="B301" t="str">
        <f>"Hirt"</f>
        <v>Hirt</v>
      </c>
      <c r="C301" t="str">
        <f>"Judo Victo"</f>
        <v>Judo Victo</v>
      </c>
      <c r="D301" t="str">
        <f>"F"</f>
        <v>F</v>
      </c>
      <c r="E301" t="s">
        <v>24</v>
      </c>
      <c r="F301" t="s">
        <v>64</v>
      </c>
      <c r="G301" t="str">
        <f>"U16"</f>
        <v>U16</v>
      </c>
      <c r="H301" t="str">
        <f>"-52"</f>
        <v>-52</v>
      </c>
      <c r="I301" t="str">
        <f>"0223438"</f>
        <v>0223438</v>
      </c>
      <c r="J301" t="str">
        <f>"Yes"</f>
        <v>Yes</v>
      </c>
      <c r="K301" t="str">
        <f>"Quebec"</f>
        <v>Quebec</v>
      </c>
      <c r="M301" t="str">
        <f>""</f>
        <v/>
      </c>
      <c r="N301" t="s">
        <v>292</v>
      </c>
    </row>
    <row r="302" spans="1:14" hidden="1" x14ac:dyDescent="0.25">
      <c r="A302" t="str">
        <f>"Jérémy"</f>
        <v>Jérémy</v>
      </c>
      <c r="B302" t="str">
        <f>"Roy"</f>
        <v>Roy</v>
      </c>
      <c r="C302" t="str">
        <f>"Vieille Capitale"</f>
        <v>Vieille Capitale</v>
      </c>
      <c r="D302" t="str">
        <f>"M"</f>
        <v>M</v>
      </c>
      <c r="E302" t="s">
        <v>32</v>
      </c>
      <c r="F302" t="s">
        <v>18</v>
      </c>
      <c r="G302" t="str">
        <f>"U16"</f>
        <v>U16</v>
      </c>
      <c r="H302" t="str">
        <f>"-50"</f>
        <v>-50</v>
      </c>
      <c r="I302" t="str">
        <f>"0176654"</f>
        <v>0176654</v>
      </c>
      <c r="J302" t="str">
        <f>"Yes"</f>
        <v>Yes</v>
      </c>
      <c r="K302" t="str">
        <f>"Quebec"</f>
        <v>Quebec</v>
      </c>
      <c r="N302" t="s">
        <v>256</v>
      </c>
    </row>
    <row r="303" spans="1:14" x14ac:dyDescent="0.25">
      <c r="A303" t="str">
        <f>"Amélie"</f>
        <v>Amélie</v>
      </c>
      <c r="B303" t="str">
        <f>"Grenier"</f>
        <v>Grenier</v>
      </c>
      <c r="C303" t="str">
        <f>"Ju Shin Kan"</f>
        <v>Ju Shin Kan</v>
      </c>
      <c r="D303" t="str">
        <f>"F"</f>
        <v>F</v>
      </c>
      <c r="E303" t="s">
        <v>17</v>
      </c>
      <c r="F303" t="s">
        <v>18</v>
      </c>
      <c r="G303" t="s">
        <v>25</v>
      </c>
      <c r="H303" t="str">
        <f>"-52"</f>
        <v>-52</v>
      </c>
      <c r="I303" t="str">
        <f>"0171435"</f>
        <v>0171435</v>
      </c>
      <c r="J303" t="str">
        <f>"Yes"</f>
        <v>Yes</v>
      </c>
      <c r="K303" t="str">
        <f>"Quebec"</f>
        <v>Quebec</v>
      </c>
      <c r="M303" t="str">
        <f>"2 divisions : U18 + U21/Sénior B"</f>
        <v>2 divisions : U18 + U21/Sénior B</v>
      </c>
      <c r="N303" t="s">
        <v>217</v>
      </c>
    </row>
    <row r="304" spans="1:14" hidden="1" x14ac:dyDescent="0.25">
      <c r="A304" t="s">
        <v>311</v>
      </c>
      <c r="B304" t="s">
        <v>312</v>
      </c>
      <c r="C304" t="s">
        <v>313</v>
      </c>
      <c r="D304" t="s">
        <v>44</v>
      </c>
      <c r="E304" t="s">
        <v>27</v>
      </c>
      <c r="F304" t="s">
        <v>18</v>
      </c>
      <c r="G304" t="s">
        <v>72</v>
      </c>
      <c r="H304">
        <v>-52</v>
      </c>
      <c r="I304" t="s">
        <v>314</v>
      </c>
      <c r="J304" t="s">
        <v>46</v>
      </c>
      <c r="K304" t="s">
        <v>47</v>
      </c>
      <c r="M304" t="s">
        <v>35</v>
      </c>
      <c r="N304" t="s">
        <v>238</v>
      </c>
    </row>
    <row r="305" spans="1:14" hidden="1" x14ac:dyDescent="0.25">
      <c r="A305" t="str">
        <f>"Sacha"</f>
        <v>Sacha</v>
      </c>
      <c r="B305" t="str">
        <f>"Cliche"</f>
        <v>Cliche</v>
      </c>
      <c r="C305" t="str">
        <f>"Judo Beauce"</f>
        <v>Judo Beauce</v>
      </c>
      <c r="D305" t="str">
        <f>"M"</f>
        <v>M</v>
      </c>
      <c r="E305" t="s">
        <v>38</v>
      </c>
      <c r="F305" t="s">
        <v>64</v>
      </c>
      <c r="G305" t="str">
        <f>"U14"</f>
        <v>U14</v>
      </c>
      <c r="H305" t="str">
        <f>"-38"</f>
        <v>-38</v>
      </c>
      <c r="I305" t="str">
        <f>"0223378"</f>
        <v>0223378</v>
      </c>
      <c r="J305" t="str">
        <f>"Yes"</f>
        <v>Yes</v>
      </c>
      <c r="K305" t="str">
        <f>"Quebec"</f>
        <v>Quebec</v>
      </c>
      <c r="N305" t="s">
        <v>310</v>
      </c>
    </row>
    <row r="306" spans="1:14" hidden="1" x14ac:dyDescent="0.25">
      <c r="A306" t="str">
        <f>"Samuel"</f>
        <v>Samuel</v>
      </c>
      <c r="B306" t="str">
        <f>"Girard"</f>
        <v>Girard</v>
      </c>
      <c r="C306" t="s">
        <v>67</v>
      </c>
      <c r="D306" t="str">
        <f>"M"</f>
        <v>M</v>
      </c>
      <c r="E306" t="s">
        <v>21</v>
      </c>
      <c r="F306" t="s">
        <v>37</v>
      </c>
      <c r="G306" t="str">
        <f>"U12"</f>
        <v>U12</v>
      </c>
      <c r="H306" t="str">
        <f>"-30"</f>
        <v>-30</v>
      </c>
      <c r="I306" t="str">
        <f>"0207186"</f>
        <v>0207186</v>
      </c>
      <c r="J306" t="str">
        <f>"Yes"</f>
        <v>Yes</v>
      </c>
      <c r="K306" t="str">
        <f>"Quebec"</f>
        <v>Quebec</v>
      </c>
      <c r="N306" t="s">
        <v>23</v>
      </c>
    </row>
    <row r="307" spans="1:14" hidden="1" x14ac:dyDescent="0.25">
      <c r="A307" t="str">
        <f>"Daphnée"</f>
        <v>Daphnée</v>
      </c>
      <c r="B307" t="str">
        <f>"Giroux"</f>
        <v>Giroux</v>
      </c>
      <c r="C307" t="str">
        <f>"Shawinigan"</f>
        <v>Shawinigan</v>
      </c>
      <c r="D307" t="str">
        <f>"F"</f>
        <v>F</v>
      </c>
      <c r="E307" t="s">
        <v>21</v>
      </c>
      <c r="F307" t="s">
        <v>37</v>
      </c>
      <c r="G307" t="str">
        <f>"U12"</f>
        <v>U12</v>
      </c>
      <c r="H307" t="str">
        <f>"-36"</f>
        <v>-36</v>
      </c>
      <c r="I307" t="str">
        <f>"0211248"</f>
        <v>0211248</v>
      </c>
      <c r="J307" t="str">
        <f>"Yes"</f>
        <v>Yes</v>
      </c>
      <c r="K307" t="str">
        <f>"Quebec"</f>
        <v>Quebec</v>
      </c>
      <c r="N307" t="s">
        <v>91</v>
      </c>
    </row>
    <row r="308" spans="1:14" hidden="1" x14ac:dyDescent="0.25">
      <c r="A308" t="str">
        <f>"Charlie"</f>
        <v>Charlie</v>
      </c>
      <c r="B308" t="str">
        <f>"Giroux"</f>
        <v>Giroux</v>
      </c>
      <c r="C308" t="str">
        <f>"Judo Dojo Vallée"</f>
        <v>Judo Dojo Vallée</v>
      </c>
      <c r="D308" t="str">
        <f>"M"</f>
        <v>M</v>
      </c>
      <c r="E308" t="s">
        <v>21</v>
      </c>
      <c r="F308" t="s">
        <v>90</v>
      </c>
      <c r="G308" t="str">
        <f>"U12"</f>
        <v>U12</v>
      </c>
      <c r="H308" t="str">
        <f>"-33"</f>
        <v>-33</v>
      </c>
      <c r="I308" t="str">
        <f>"0237843"</f>
        <v>0237843</v>
      </c>
      <c r="J308" t="str">
        <f>"Yes"</f>
        <v>Yes</v>
      </c>
      <c r="K308" t="str">
        <f>"Quebec"</f>
        <v>Quebec</v>
      </c>
      <c r="M308" t="str">
        <f>""</f>
        <v/>
      </c>
      <c r="N308" t="s">
        <v>23</v>
      </c>
    </row>
    <row r="309" spans="1:14" hidden="1" x14ac:dyDescent="0.25">
      <c r="A309" t="str">
        <f>"Corey"</f>
        <v>Corey</v>
      </c>
      <c r="B309" t="str">
        <f>"D'arterio"</f>
        <v>D'arterio</v>
      </c>
      <c r="C309" t="str">
        <f>"Perrot Shima"</f>
        <v>Perrot Shima</v>
      </c>
      <c r="D309" t="str">
        <f>"M"</f>
        <v>M</v>
      </c>
      <c r="E309" t="s">
        <v>14</v>
      </c>
      <c r="F309" t="s">
        <v>64</v>
      </c>
      <c r="G309" t="str">
        <f>"U14"</f>
        <v>U14</v>
      </c>
      <c r="H309" t="str">
        <f>"-38"</f>
        <v>-38</v>
      </c>
      <c r="I309" t="str">
        <f>"0193672"</f>
        <v>0193672</v>
      </c>
      <c r="J309" t="str">
        <f>"Yes"</f>
        <v>Yes</v>
      </c>
      <c r="K309" t="str">
        <f>"Quebec"</f>
        <v>Quebec</v>
      </c>
      <c r="M309" t="str">
        <f>""</f>
        <v/>
      </c>
      <c r="N309" t="s">
        <v>310</v>
      </c>
    </row>
    <row r="310" spans="1:14" hidden="1" x14ac:dyDescent="0.25">
      <c r="A310" t="str">
        <f>"Yan"</f>
        <v>Yan</v>
      </c>
      <c r="B310" t="str">
        <f>"Gobeil"</f>
        <v>Gobeil</v>
      </c>
      <c r="C310" t="str">
        <f>"Institut Judo Chicoutimi"</f>
        <v>Institut Judo Chicoutimi</v>
      </c>
      <c r="D310" t="str">
        <f>"M"</f>
        <v>M</v>
      </c>
      <c r="E310" t="s">
        <v>315</v>
      </c>
      <c r="F310" t="s">
        <v>316</v>
      </c>
      <c r="G310" t="str">
        <f>"Ne-waza"</f>
        <v>Ne-waza</v>
      </c>
      <c r="H310" t="str">
        <f>"-81"</f>
        <v>-81</v>
      </c>
      <c r="I310" t="str">
        <f>"0011750"</f>
        <v>0011750</v>
      </c>
      <c r="J310" t="str">
        <f>"Yes"</f>
        <v>Yes</v>
      </c>
      <c r="K310" t="str">
        <f>"Quebec"</f>
        <v>Quebec</v>
      </c>
      <c r="N310" t="s">
        <v>317</v>
      </c>
    </row>
    <row r="311" spans="1:14" hidden="1" x14ac:dyDescent="0.25">
      <c r="A311" t="str">
        <f>"Theo"</f>
        <v>Theo</v>
      </c>
      <c r="B311" t="str">
        <f>"Gobeil"</f>
        <v>Gobeil</v>
      </c>
      <c r="C311" t="str">
        <f>"Institut Judo Chicoutimi"</f>
        <v>Institut Judo Chicoutimi</v>
      </c>
      <c r="D311" t="str">
        <f>"M"</f>
        <v>M</v>
      </c>
      <c r="E311" t="s">
        <v>21</v>
      </c>
      <c r="F311" t="s">
        <v>37</v>
      </c>
      <c r="G311" t="str">
        <f>"U12"</f>
        <v>U12</v>
      </c>
      <c r="H311" t="str">
        <f>"-33"</f>
        <v>-33</v>
      </c>
      <c r="I311" t="str">
        <f>"0206074"</f>
        <v>0206074</v>
      </c>
      <c r="J311" t="str">
        <f>"Yes"</f>
        <v>Yes</v>
      </c>
      <c r="K311" t="str">
        <f>"Quebec"</f>
        <v>Quebec</v>
      </c>
      <c r="M311" t="str">
        <f>""</f>
        <v/>
      </c>
      <c r="N311" t="s">
        <v>23</v>
      </c>
    </row>
    <row r="312" spans="1:14" hidden="1" x14ac:dyDescent="0.25">
      <c r="A312" t="str">
        <f>"Norbert Peter"</f>
        <v>Norbert Peter</v>
      </c>
      <c r="B312" t="str">
        <f>"Andras"</f>
        <v>Andras</v>
      </c>
      <c r="C312" t="str">
        <f>"Métropolitain"</f>
        <v>Métropolitain</v>
      </c>
      <c r="D312" t="str">
        <f>"M"</f>
        <v>M</v>
      </c>
      <c r="E312" t="s">
        <v>24</v>
      </c>
      <c r="F312" t="s">
        <v>18</v>
      </c>
      <c r="G312" t="s">
        <v>151</v>
      </c>
      <c r="H312" t="str">
        <f>"-55"</f>
        <v>-55</v>
      </c>
      <c r="I312" t="str">
        <f>"0223679"</f>
        <v>0223679</v>
      </c>
      <c r="J312" t="str">
        <f>"Yes"</f>
        <v>Yes</v>
      </c>
      <c r="K312" t="str">
        <f>"Quebec"</f>
        <v>Quebec</v>
      </c>
      <c r="M312" t="str">
        <f>"2 divisions : U16 + U18"</f>
        <v>2 divisions : U16 + U18</v>
      </c>
      <c r="N312" t="s">
        <v>318</v>
      </c>
    </row>
    <row r="313" spans="1:14" x14ac:dyDescent="0.25">
      <c r="A313" t="str">
        <f>"Jean-Pascal"</f>
        <v>Jean-Pascal</v>
      </c>
      <c r="B313" t="str">
        <f>"Coulombe"</f>
        <v>Coulombe</v>
      </c>
      <c r="C313" t="str">
        <f>"Sept-Iles"</f>
        <v>Sept-Iles</v>
      </c>
      <c r="D313" t="str">
        <f>"M"</f>
        <v>M</v>
      </c>
      <c r="E313" t="s">
        <v>27</v>
      </c>
      <c r="F313" t="s">
        <v>18</v>
      </c>
      <c r="G313" t="s">
        <v>25</v>
      </c>
      <c r="H313" t="str">
        <f>"-66"</f>
        <v>-66</v>
      </c>
      <c r="I313" t="str">
        <f>"0182492"</f>
        <v>0182492</v>
      </c>
      <c r="J313" t="str">
        <f>"Yes"</f>
        <v>Yes</v>
      </c>
      <c r="K313" t="str">
        <f>"Quebec"</f>
        <v>Quebec</v>
      </c>
      <c r="M313" t="s">
        <v>319</v>
      </c>
      <c r="N313" t="s">
        <v>295</v>
      </c>
    </row>
    <row r="314" spans="1:14" hidden="1" x14ac:dyDescent="0.25">
      <c r="A314" t="str">
        <f>"Maude"</f>
        <v>Maude</v>
      </c>
      <c r="B314" t="str">
        <f>"Demers"</f>
        <v>Demers</v>
      </c>
      <c r="C314" t="str">
        <f>"Torakai"</f>
        <v>Torakai</v>
      </c>
      <c r="D314" t="str">
        <f>"F"</f>
        <v>F</v>
      </c>
      <c r="E314" t="s">
        <v>14</v>
      </c>
      <c r="F314" t="s">
        <v>64</v>
      </c>
      <c r="G314" t="str">
        <f>"U14"</f>
        <v>U14</v>
      </c>
      <c r="H314" t="str">
        <f>"-52"</f>
        <v>-52</v>
      </c>
      <c r="I314" t="str">
        <f>"0199388"</f>
        <v>0199388</v>
      </c>
      <c r="J314" t="str">
        <f>"Yes"</f>
        <v>Yes</v>
      </c>
      <c r="K314" t="str">
        <f>"Quebec"</f>
        <v>Quebec</v>
      </c>
      <c r="M314" t="str">
        <f>""</f>
        <v/>
      </c>
      <c r="N314" t="s">
        <v>293</v>
      </c>
    </row>
    <row r="315" spans="1:14" x14ac:dyDescent="0.25">
      <c r="A315" t="str">
        <f>"Micheal"</f>
        <v>Micheal</v>
      </c>
      <c r="B315" t="str">
        <f>"Doucet-Petrin"</f>
        <v>Doucet-Petrin</v>
      </c>
      <c r="C315" t="str">
        <f>"Verdun"</f>
        <v>Verdun</v>
      </c>
      <c r="D315" t="str">
        <f>"M"</f>
        <v>M</v>
      </c>
      <c r="E315" t="s">
        <v>17</v>
      </c>
      <c r="F315" t="s">
        <v>37</v>
      </c>
      <c r="G315" t="str">
        <f>"U18"</f>
        <v>U18</v>
      </c>
      <c r="H315" t="str">
        <f>"-73"</f>
        <v>-73</v>
      </c>
      <c r="I315" t="str">
        <f>"0223828"</f>
        <v>0223828</v>
      </c>
      <c r="J315" t="str">
        <f>"Yes"</f>
        <v>Yes</v>
      </c>
      <c r="K315" t="str">
        <f>"Quebec"</f>
        <v>Quebec</v>
      </c>
      <c r="M315" t="str">
        <f>""</f>
        <v/>
      </c>
      <c r="N315" t="s">
        <v>265</v>
      </c>
    </row>
    <row r="316" spans="1:14" x14ac:dyDescent="0.25">
      <c r="A316" t="str">
        <f>"Zachary"</f>
        <v>Zachary</v>
      </c>
      <c r="B316" t="str">
        <f>"Cyr"</f>
        <v>Cyr</v>
      </c>
      <c r="C316" t="str">
        <f>"Sept-Iles"</f>
        <v>Sept-Iles</v>
      </c>
      <c r="D316" t="str">
        <f>"M"</f>
        <v>M</v>
      </c>
      <c r="E316" t="s">
        <v>24</v>
      </c>
      <c r="F316" t="s">
        <v>18</v>
      </c>
      <c r="G316" t="str">
        <f>"U18"</f>
        <v>U18</v>
      </c>
      <c r="H316" t="str">
        <f>"-66"</f>
        <v>-66</v>
      </c>
      <c r="I316" t="str">
        <f>"0145831"</f>
        <v>0145831</v>
      </c>
      <c r="J316" t="str">
        <f>"Yes"</f>
        <v>Yes</v>
      </c>
      <c r="K316" t="str">
        <f>"Quebec"</f>
        <v>Quebec</v>
      </c>
      <c r="N316" t="s">
        <v>295</v>
      </c>
    </row>
    <row r="317" spans="1:14" hidden="1" x14ac:dyDescent="0.25">
      <c r="A317" t="str">
        <f>"Malcolm"</f>
        <v>Malcolm</v>
      </c>
      <c r="B317" t="str">
        <f>"Pelletier"</f>
        <v>Pelletier</v>
      </c>
      <c r="C317" t="str">
        <f>"Shidokan"</f>
        <v>Shidokan</v>
      </c>
      <c r="D317" t="str">
        <f>"M"</f>
        <v>M</v>
      </c>
      <c r="E317" t="s">
        <v>71</v>
      </c>
      <c r="F317" t="s">
        <v>30</v>
      </c>
      <c r="G317" t="s">
        <v>72</v>
      </c>
      <c r="H317" t="str">
        <f>"-66"</f>
        <v>-66</v>
      </c>
      <c r="I317" t="str">
        <f>"0158232"</f>
        <v>0158232</v>
      </c>
      <c r="J317" t="str">
        <f>"Yes"</f>
        <v>Yes</v>
      </c>
      <c r="K317" t="str">
        <f>"Quebec"</f>
        <v>Quebec</v>
      </c>
      <c r="M317" t="str">
        <f>"2 divisions : U21/Senior B + Senior A"</f>
        <v>2 divisions : U21/Senior B + Senior A</v>
      </c>
      <c r="N317" t="s">
        <v>248</v>
      </c>
    </row>
    <row r="318" spans="1:14" hidden="1" x14ac:dyDescent="0.25">
      <c r="A318" t="str">
        <f>"Antony"</f>
        <v>Antony</v>
      </c>
      <c r="B318" t="str">
        <f>"Gorbachuk"</f>
        <v>Gorbachuk</v>
      </c>
      <c r="C318" t="str">
        <f>"St-Jean Bosco"</f>
        <v>St-Jean Bosco</v>
      </c>
      <c r="D318" t="str">
        <f>"M"</f>
        <v>M</v>
      </c>
      <c r="E318" t="s">
        <v>60</v>
      </c>
      <c r="F318" t="s">
        <v>37</v>
      </c>
      <c r="G318" t="str">
        <f>"U12"</f>
        <v>U12</v>
      </c>
      <c r="H318" t="str">
        <f>"-42"</f>
        <v>-42</v>
      </c>
      <c r="I318" t="str">
        <f>"0207907"</f>
        <v>0207907</v>
      </c>
      <c r="J318" t="str">
        <f>"Yes"</f>
        <v>Yes</v>
      </c>
      <c r="K318" t="str">
        <f>"Quebec"</f>
        <v>Quebec</v>
      </c>
      <c r="N318" t="s">
        <v>23</v>
      </c>
    </row>
    <row r="319" spans="1:14" hidden="1" x14ac:dyDescent="0.25">
      <c r="A319" t="str">
        <f>"Nicolas"</f>
        <v>Nicolas</v>
      </c>
      <c r="B319" t="str">
        <f>"Arseneault"</f>
        <v>Arseneault</v>
      </c>
      <c r="C319" t="str">
        <f>"Sept-Iles"</f>
        <v>Sept-Iles</v>
      </c>
      <c r="D319" t="str">
        <f>"M"</f>
        <v>M</v>
      </c>
      <c r="E319" t="s">
        <v>32</v>
      </c>
      <c r="F319" t="s">
        <v>39</v>
      </c>
      <c r="G319" t="str">
        <f>"U16"</f>
        <v>U16</v>
      </c>
      <c r="H319" t="str">
        <f>"-55"</f>
        <v>-55</v>
      </c>
      <c r="I319" t="str">
        <f>"0174362"</f>
        <v>0174362</v>
      </c>
      <c r="J319" t="str">
        <f>"Yes"</f>
        <v>Yes</v>
      </c>
      <c r="K319" t="str">
        <f>"Quebec"</f>
        <v>Quebec</v>
      </c>
      <c r="N319" t="s">
        <v>318</v>
      </c>
    </row>
    <row r="320" spans="1:14" hidden="1" x14ac:dyDescent="0.25">
      <c r="A320" t="str">
        <f>"Eliot"</f>
        <v>Eliot</v>
      </c>
      <c r="B320" t="str">
        <f>"Gorcy"</f>
        <v>Gorcy</v>
      </c>
      <c r="C320" t="str">
        <f>"Shidokan"</f>
        <v>Shidokan</v>
      </c>
      <c r="D320" t="str">
        <f>"M"</f>
        <v>M</v>
      </c>
      <c r="E320" t="s">
        <v>21</v>
      </c>
      <c r="F320" t="s">
        <v>64</v>
      </c>
      <c r="G320" t="str">
        <f>"U12"</f>
        <v>U12</v>
      </c>
      <c r="H320" t="str">
        <f>"-33"</f>
        <v>-33</v>
      </c>
      <c r="I320" t="str">
        <f>"0179913"</f>
        <v>0179913</v>
      </c>
      <c r="J320" t="str">
        <f>"Yes"</f>
        <v>Yes</v>
      </c>
      <c r="K320" t="str">
        <f>"Quebec"</f>
        <v>Quebec</v>
      </c>
      <c r="M320" t="str">
        <f>""</f>
        <v/>
      </c>
      <c r="N320" t="s">
        <v>23</v>
      </c>
    </row>
    <row r="321" spans="1:14" x14ac:dyDescent="0.25">
      <c r="A321" t="str">
        <f>"Émilien"</f>
        <v>Émilien</v>
      </c>
      <c r="B321" t="str">
        <f>"Dutremble"</f>
        <v>Dutremble</v>
      </c>
      <c r="C321" t="str">
        <f>"Saint-Hyacinthe"</f>
        <v>Saint-Hyacinthe</v>
      </c>
      <c r="D321" t="str">
        <f>"M"</f>
        <v>M</v>
      </c>
      <c r="E321" t="s">
        <v>17</v>
      </c>
      <c r="F321" t="s">
        <v>18</v>
      </c>
      <c r="G321" t="str">
        <f>"U18"</f>
        <v>U18</v>
      </c>
      <c r="H321" t="str">
        <f>"-66"</f>
        <v>-66</v>
      </c>
      <c r="I321" t="str">
        <f>"0146200"</f>
        <v>0146200</v>
      </c>
      <c r="J321" t="str">
        <f>"Yes"</f>
        <v>Yes</v>
      </c>
      <c r="K321" t="str">
        <f>"Quebec"</f>
        <v>Quebec</v>
      </c>
      <c r="N321" t="s">
        <v>295</v>
      </c>
    </row>
    <row r="322" spans="1:14" x14ac:dyDescent="0.25">
      <c r="A322" t="str">
        <f>"Mark"</f>
        <v>Mark</v>
      </c>
      <c r="B322" t="str">
        <f>"Fournier"</f>
        <v>Fournier</v>
      </c>
      <c r="C322" t="str">
        <f>"Tani "</f>
        <v xml:space="preserve">Tani </v>
      </c>
      <c r="D322" t="str">
        <f>"M"</f>
        <v>M</v>
      </c>
      <c r="E322" t="s">
        <v>27</v>
      </c>
      <c r="F322" t="s">
        <v>39</v>
      </c>
      <c r="G322" t="str">
        <f>"U18"</f>
        <v>U18</v>
      </c>
      <c r="H322" t="str">
        <f>"-66"</f>
        <v>-66</v>
      </c>
      <c r="I322" t="str">
        <f>"0162399"</f>
        <v>0162399</v>
      </c>
      <c r="J322" t="str">
        <f>"Yes"</f>
        <v>Yes</v>
      </c>
      <c r="K322" t="str">
        <f>"Quebec"</f>
        <v>Quebec</v>
      </c>
      <c r="M322" t="str">
        <f>""</f>
        <v/>
      </c>
      <c r="N322" t="s">
        <v>295</v>
      </c>
    </row>
    <row r="323" spans="1:14" hidden="1" x14ac:dyDescent="0.25">
      <c r="A323" t="str">
        <f>"Innokenty-Kevin"</f>
        <v>Innokenty-Kevin</v>
      </c>
      <c r="B323" t="str">
        <f>"Perelmutov"</f>
        <v>Perelmutov</v>
      </c>
      <c r="C323" t="str">
        <f>"Shidokan"</f>
        <v>Shidokan</v>
      </c>
      <c r="D323" t="str">
        <f>"M"</f>
        <v>M</v>
      </c>
      <c r="E323" t="s">
        <v>29</v>
      </c>
      <c r="F323" t="s">
        <v>30</v>
      </c>
      <c r="G323" t="str">
        <f>"U21/Senior B"</f>
        <v>U21/Senior B</v>
      </c>
      <c r="H323" t="str">
        <f>"-66"</f>
        <v>-66</v>
      </c>
      <c r="I323" t="str">
        <f>"0214629"</f>
        <v>0214629</v>
      </c>
      <c r="J323" t="str">
        <f>"Yes"</f>
        <v>Yes</v>
      </c>
      <c r="K323" t="str">
        <f>"Quebec"</f>
        <v>Quebec</v>
      </c>
      <c r="M323" t="str">
        <f>""</f>
        <v/>
      </c>
      <c r="N323" t="s">
        <v>248</v>
      </c>
    </row>
    <row r="324" spans="1:14" hidden="1" x14ac:dyDescent="0.25">
      <c r="A324" t="str">
        <f>"Nourine"</f>
        <v>Nourine</v>
      </c>
      <c r="B324" t="str">
        <f>"Benyoucef"</f>
        <v>Benyoucef</v>
      </c>
      <c r="C324" t="s">
        <v>213</v>
      </c>
      <c r="D324" t="str">
        <f>"M"</f>
        <v>M</v>
      </c>
      <c r="E324" t="s">
        <v>302</v>
      </c>
      <c r="F324" t="s">
        <v>30</v>
      </c>
      <c r="G324" t="str">
        <f>"Master"</f>
        <v>Master</v>
      </c>
      <c r="H324" t="str">
        <f>"-73"</f>
        <v>-73</v>
      </c>
      <c r="I324" t="str">
        <f>"0156947"</f>
        <v>0156947</v>
      </c>
      <c r="J324" t="str">
        <f>"Yes"</f>
        <v>Yes</v>
      </c>
      <c r="K324" t="str">
        <f>"Quebec"</f>
        <v>Quebec</v>
      </c>
      <c r="N324" t="s">
        <v>320</v>
      </c>
    </row>
    <row r="325" spans="1:14" hidden="1" x14ac:dyDescent="0.25">
      <c r="A325" t="str">
        <f>"Melody"</f>
        <v>Melody</v>
      </c>
      <c r="B325" t="str">
        <f>"Grenier"</f>
        <v>Grenier</v>
      </c>
      <c r="C325" t="str">
        <f>"Asbestos-Danville"</f>
        <v>Asbestos-Danville</v>
      </c>
      <c r="D325" t="str">
        <f>"F"</f>
        <v>F</v>
      </c>
      <c r="E325" t="s">
        <v>21</v>
      </c>
      <c r="F325" t="s">
        <v>90</v>
      </c>
      <c r="G325" t="str">
        <f>"U12"</f>
        <v>U12</v>
      </c>
      <c r="H325" t="str">
        <f>"-30"</f>
        <v>-30</v>
      </c>
      <c r="I325" t="str">
        <f>"0189102"</f>
        <v>0189102</v>
      </c>
      <c r="J325" t="str">
        <f>"Yes"</f>
        <v>Yes</v>
      </c>
      <c r="K325" t="str">
        <f>"Quebec"</f>
        <v>Quebec</v>
      </c>
      <c r="N325" t="s">
        <v>91</v>
      </c>
    </row>
    <row r="326" spans="1:14" hidden="1" x14ac:dyDescent="0.25">
      <c r="A326" t="str">
        <f>"Justin"</f>
        <v>Justin</v>
      </c>
      <c r="B326" t="str">
        <f>"Beaudry"</f>
        <v>Beaudry</v>
      </c>
      <c r="C326" t="str">
        <f>"Saint-Hyacinthe"</f>
        <v>Saint-Hyacinthe</v>
      </c>
      <c r="D326" t="str">
        <f>"M"</f>
        <v>M</v>
      </c>
      <c r="E326" t="s">
        <v>24</v>
      </c>
      <c r="F326" t="s">
        <v>39</v>
      </c>
      <c r="G326" t="str">
        <f>"U16"</f>
        <v>U16</v>
      </c>
      <c r="H326" t="str">
        <f>"-55"</f>
        <v>-55</v>
      </c>
      <c r="I326" t="str">
        <f>"0180619"</f>
        <v>0180619</v>
      </c>
      <c r="J326" t="str">
        <f>"Yes"</f>
        <v>Yes</v>
      </c>
      <c r="K326" t="str">
        <f>"Quebec"</f>
        <v>Quebec</v>
      </c>
      <c r="M326" t="str">
        <f>""</f>
        <v/>
      </c>
      <c r="N326" t="s">
        <v>318</v>
      </c>
    </row>
    <row r="327" spans="1:14" x14ac:dyDescent="0.25">
      <c r="A327" t="str">
        <f>"Violette"</f>
        <v>Violette</v>
      </c>
      <c r="B327" t="str">
        <f>"Louet"</f>
        <v>Louet</v>
      </c>
      <c r="C327" t="str">
        <f>"Judo Monde"</f>
        <v>Judo Monde</v>
      </c>
      <c r="D327" t="str">
        <f>"F"</f>
        <v>F</v>
      </c>
      <c r="E327" t="s">
        <v>27</v>
      </c>
      <c r="F327" t="s">
        <v>18</v>
      </c>
      <c r="G327" t="str">
        <f>"U18"</f>
        <v>U18</v>
      </c>
      <c r="H327" t="str">
        <f>"-52"</f>
        <v>-52</v>
      </c>
      <c r="I327" t="str">
        <f>"0156815"</f>
        <v>0156815</v>
      </c>
      <c r="J327" t="str">
        <f>"Yes"</f>
        <v>Yes</v>
      </c>
      <c r="K327" t="str">
        <f>"Quebec"</f>
        <v>Quebec</v>
      </c>
      <c r="N327" t="s">
        <v>217</v>
      </c>
    </row>
    <row r="328" spans="1:14" hidden="1" x14ac:dyDescent="0.25">
      <c r="A328" t="str">
        <f>"Amélie"</f>
        <v>Amélie</v>
      </c>
      <c r="B328" t="str">
        <f>"Grenier"</f>
        <v>Grenier</v>
      </c>
      <c r="C328" t="str">
        <f>"Ju Shin Kan"</f>
        <v>Ju Shin Kan</v>
      </c>
      <c r="D328" t="str">
        <f>"F"</f>
        <v>F</v>
      </c>
      <c r="E328" t="s">
        <v>17</v>
      </c>
      <c r="F328" t="s">
        <v>18</v>
      </c>
      <c r="G328" t="str">
        <f>"U21/Senior B"</f>
        <v>U21/Senior B</v>
      </c>
      <c r="H328" t="str">
        <f>"-52"</f>
        <v>-52</v>
      </c>
      <c r="I328" t="str">
        <f>"0171435"</f>
        <v>0171435</v>
      </c>
      <c r="J328" t="str">
        <f>"Yes"</f>
        <v>Yes</v>
      </c>
      <c r="K328" t="str">
        <f>"Quebec"</f>
        <v>Quebec</v>
      </c>
      <c r="M328" t="str">
        <f>"2 divisions : U18 + U21/Sénior B"</f>
        <v>2 divisions : U18 + U21/Sénior B</v>
      </c>
      <c r="N328" t="s">
        <v>238</v>
      </c>
    </row>
    <row r="329" spans="1:14" hidden="1" x14ac:dyDescent="0.25">
      <c r="A329" t="str">
        <f>"Alexis"</f>
        <v>Alexis</v>
      </c>
      <c r="B329" t="str">
        <f>"Belanger"</f>
        <v>Belanger</v>
      </c>
      <c r="C329" t="str">
        <f>"Seïkidokan"</f>
        <v>Seïkidokan</v>
      </c>
      <c r="D329" t="str">
        <f>"M"</f>
        <v>M</v>
      </c>
      <c r="E329" t="s">
        <v>24</v>
      </c>
      <c r="F329" t="s">
        <v>64</v>
      </c>
      <c r="G329" t="str">
        <f>"U16"</f>
        <v>U16</v>
      </c>
      <c r="H329" t="str">
        <f>"-55"</f>
        <v>-55</v>
      </c>
      <c r="I329" t="str">
        <f>"0189149"</f>
        <v>0189149</v>
      </c>
      <c r="J329" t="str">
        <f>"Yes"</f>
        <v>Yes</v>
      </c>
      <c r="K329" t="str">
        <f>"Quebec"</f>
        <v>Quebec</v>
      </c>
      <c r="M329" t="str">
        <f>""</f>
        <v/>
      </c>
      <c r="N329" t="s">
        <v>318</v>
      </c>
    </row>
    <row r="330" spans="1:14" hidden="1" x14ac:dyDescent="0.25">
      <c r="A330" t="str">
        <f>"Julien"</f>
        <v>Julien</v>
      </c>
      <c r="B330" t="str">
        <f>"Edwards"</f>
        <v>Edwards</v>
      </c>
      <c r="C330" t="s">
        <v>28</v>
      </c>
      <c r="D330" t="str">
        <f>"M"</f>
        <v>M</v>
      </c>
      <c r="E330" t="s">
        <v>38</v>
      </c>
      <c r="F330" t="s">
        <v>64</v>
      </c>
      <c r="G330" t="str">
        <f>"U14"</f>
        <v>U14</v>
      </c>
      <c r="H330" t="str">
        <f>"-38"</f>
        <v>-38</v>
      </c>
      <c r="I330" t="str">
        <f>"0205552"</f>
        <v>0205552</v>
      </c>
      <c r="J330" t="str">
        <f>"Yes"</f>
        <v>Yes</v>
      </c>
      <c r="K330" t="str">
        <f>"Quebec"</f>
        <v>Quebec</v>
      </c>
      <c r="N330" t="s">
        <v>310</v>
      </c>
    </row>
    <row r="331" spans="1:14" hidden="1" x14ac:dyDescent="0.25">
      <c r="A331" t="str">
        <f>"Monique"</f>
        <v>Monique</v>
      </c>
      <c r="B331" t="str">
        <f>"Tie"</f>
        <v>Tie</v>
      </c>
      <c r="C331" t="s">
        <v>28</v>
      </c>
      <c r="D331" t="str">
        <f>"F"</f>
        <v>F</v>
      </c>
      <c r="E331">
        <v>1988</v>
      </c>
      <c r="F331" t="s">
        <v>18</v>
      </c>
      <c r="G331" t="s">
        <v>85</v>
      </c>
      <c r="H331">
        <v>-52</v>
      </c>
      <c r="I331" t="str">
        <f>"0223006"</f>
        <v>0223006</v>
      </c>
      <c r="J331" t="str">
        <f>"Yes"</f>
        <v>Yes</v>
      </c>
      <c r="K331" t="s">
        <v>47</v>
      </c>
      <c r="M331" t="str">
        <f>"2 divisions : U21/Senior B + Senior A"</f>
        <v>2 divisions : U21/Senior B + Senior A</v>
      </c>
      <c r="N331" t="s">
        <v>234</v>
      </c>
    </row>
    <row r="332" spans="1:14" hidden="1" x14ac:dyDescent="0.25">
      <c r="A332" t="str">
        <f>"Frédéric"</f>
        <v>Frédéric</v>
      </c>
      <c r="B332" t="str">
        <f>"Boudreault"</f>
        <v>Boudreault</v>
      </c>
      <c r="C332" t="str">
        <f>"Seiko"</f>
        <v>Seiko</v>
      </c>
      <c r="D332" t="str">
        <f>"M"</f>
        <v>M</v>
      </c>
      <c r="E332" t="s">
        <v>32</v>
      </c>
      <c r="F332" t="s">
        <v>64</v>
      </c>
      <c r="G332" t="str">
        <f>"U16"</f>
        <v>U16</v>
      </c>
      <c r="H332" t="str">
        <f>"-55"</f>
        <v>-55</v>
      </c>
      <c r="I332" t="str">
        <f>"0188153"</f>
        <v>0188153</v>
      </c>
      <c r="J332" t="str">
        <f>"Yes"</f>
        <v>Yes</v>
      </c>
      <c r="K332" t="str">
        <f>"Quebec"</f>
        <v>Quebec</v>
      </c>
      <c r="N332" t="s">
        <v>318</v>
      </c>
    </row>
    <row r="333" spans="1:14" x14ac:dyDescent="0.25">
      <c r="A333" t="str">
        <f>"Tyson"</f>
        <v>Tyson</v>
      </c>
      <c r="B333" t="str">
        <f>"Frezza"</f>
        <v>Frezza</v>
      </c>
      <c r="C333" t="str">
        <f>"Olympique"</f>
        <v>Olympique</v>
      </c>
      <c r="D333" t="str">
        <f>"M"</f>
        <v>M</v>
      </c>
      <c r="E333" t="s">
        <v>27</v>
      </c>
      <c r="F333" t="s">
        <v>39</v>
      </c>
      <c r="G333" t="str">
        <f>"U18"</f>
        <v>U18</v>
      </c>
      <c r="H333" t="str">
        <f>"-66"</f>
        <v>-66</v>
      </c>
      <c r="I333" t="str">
        <f>"0214140"</f>
        <v>0214140</v>
      </c>
      <c r="J333" t="str">
        <f>"Yes"</f>
        <v>Yes</v>
      </c>
      <c r="K333" t="str">
        <f>"Quebec"</f>
        <v>Quebec</v>
      </c>
      <c r="N333" t="s">
        <v>295</v>
      </c>
    </row>
    <row r="334" spans="1:14" hidden="1" x14ac:dyDescent="0.25">
      <c r="A334" t="str">
        <f>"Mélodie"</f>
        <v>Mélodie</v>
      </c>
      <c r="B334" t="str">
        <f>"Mailhot-Senez"</f>
        <v>Mailhot-Senez</v>
      </c>
      <c r="C334" t="str">
        <f>"Bushidokan"</f>
        <v>Bushidokan</v>
      </c>
      <c r="D334" t="str">
        <f>"F"</f>
        <v>F</v>
      </c>
      <c r="E334" t="s">
        <v>71</v>
      </c>
      <c r="F334" t="s">
        <v>18</v>
      </c>
      <c r="G334" t="s">
        <v>72</v>
      </c>
      <c r="H334" t="str">
        <f>"-52"</f>
        <v>-52</v>
      </c>
      <c r="I334" t="str">
        <f>"0146269"</f>
        <v>0146269</v>
      </c>
      <c r="J334" t="str">
        <f>"Yes"</f>
        <v>Yes</v>
      </c>
      <c r="K334" t="str">
        <f>"Quebec"</f>
        <v>Quebec</v>
      </c>
      <c r="M334" t="str">
        <f>"2 divisions : U21/Senior B + Senior A"</f>
        <v>2 divisions : U21/Senior B + Senior A</v>
      </c>
      <c r="N334" t="s">
        <v>238</v>
      </c>
    </row>
    <row r="335" spans="1:14" hidden="1" x14ac:dyDescent="0.25">
      <c r="A335" t="str">
        <f>"Raphael"</f>
        <v>Raphael</v>
      </c>
      <c r="B335" t="str">
        <f>"Gagnon"</f>
        <v>Gagnon</v>
      </c>
      <c r="C335" t="str">
        <f>"Fermont"</f>
        <v>Fermont</v>
      </c>
      <c r="D335" t="str">
        <f>"M"</f>
        <v>M</v>
      </c>
      <c r="E335" t="s">
        <v>38</v>
      </c>
      <c r="F335" t="s">
        <v>39</v>
      </c>
      <c r="G335" t="str">
        <f>"U14"</f>
        <v>U14</v>
      </c>
      <c r="H335" t="str">
        <f>"-38"</f>
        <v>-38</v>
      </c>
      <c r="I335" t="str">
        <f>"0208172"</f>
        <v>0208172</v>
      </c>
      <c r="J335" t="str">
        <f>"Yes"</f>
        <v>Yes</v>
      </c>
      <c r="K335" t="str">
        <f>"Quebec"</f>
        <v>Quebec</v>
      </c>
      <c r="N335" t="s">
        <v>310</v>
      </c>
    </row>
    <row r="336" spans="1:14" hidden="1" x14ac:dyDescent="0.25">
      <c r="A336" t="str">
        <f>"Dominic"</f>
        <v>Dominic</v>
      </c>
      <c r="B336" t="str">
        <f>"Guerault"</f>
        <v>Guerault</v>
      </c>
      <c r="C336" t="str">
        <f>"Sept-Iles"</f>
        <v>Sept-Iles</v>
      </c>
      <c r="D336" t="str">
        <f>"M"</f>
        <v>M</v>
      </c>
      <c r="E336" t="s">
        <v>14</v>
      </c>
      <c r="F336" t="s">
        <v>64</v>
      </c>
      <c r="G336" t="str">
        <f>"U14"</f>
        <v>U14</v>
      </c>
      <c r="H336" t="str">
        <f>"-38"</f>
        <v>-38</v>
      </c>
      <c r="I336" t="str">
        <f>"0217148"</f>
        <v>0217148</v>
      </c>
      <c r="J336" t="str">
        <f>"Yes"</f>
        <v>Yes</v>
      </c>
      <c r="K336" t="str">
        <f>"Quebec"</f>
        <v>Quebec</v>
      </c>
      <c r="N336" t="s">
        <v>310</v>
      </c>
    </row>
    <row r="337" spans="1:14" hidden="1" x14ac:dyDescent="0.25">
      <c r="A337" t="str">
        <f>"Aymane"</f>
        <v>Aymane</v>
      </c>
      <c r="B337" t="str">
        <f>"Hadj-Bachir"</f>
        <v>Hadj-Bachir</v>
      </c>
      <c r="C337" t="str">
        <f>"Métropolitain"</f>
        <v>Métropolitain</v>
      </c>
      <c r="D337" t="str">
        <f>"M"</f>
        <v>M</v>
      </c>
      <c r="E337" t="s">
        <v>38</v>
      </c>
      <c r="F337" t="s">
        <v>64</v>
      </c>
      <c r="G337" t="str">
        <f>"U14"</f>
        <v>U14</v>
      </c>
      <c r="H337" t="str">
        <f>"-38"</f>
        <v>-38</v>
      </c>
      <c r="I337" t="str">
        <f>"0199934"</f>
        <v>0199934</v>
      </c>
      <c r="J337" t="str">
        <f>"Yes"</f>
        <v>Yes</v>
      </c>
      <c r="K337" t="str">
        <f>"Quebec"</f>
        <v>Quebec</v>
      </c>
      <c r="M337" t="str">
        <f>""</f>
        <v/>
      </c>
      <c r="N337" t="s">
        <v>310</v>
      </c>
    </row>
    <row r="338" spans="1:14" hidden="1" x14ac:dyDescent="0.25">
      <c r="A338" t="str">
        <f>"Amine"</f>
        <v>Amine</v>
      </c>
      <c r="B338" t="str">
        <f>"Hadj-Bachir"</f>
        <v>Hadj-Bachir</v>
      </c>
      <c r="C338" t="str">
        <f>"Métropolitain"</f>
        <v>Métropolitain</v>
      </c>
      <c r="D338" t="str">
        <f>"M"</f>
        <v>M</v>
      </c>
      <c r="E338" t="s">
        <v>14</v>
      </c>
      <c r="F338" t="s">
        <v>64</v>
      </c>
      <c r="G338" t="str">
        <f>"U14"</f>
        <v>U14</v>
      </c>
      <c r="H338" t="str">
        <f>"-38"</f>
        <v>-38</v>
      </c>
      <c r="I338" t="str">
        <f>"0205099"</f>
        <v>0205099</v>
      </c>
      <c r="J338" t="str">
        <f>"Yes"</f>
        <v>Yes</v>
      </c>
      <c r="K338" t="str">
        <f>"Quebec"</f>
        <v>Quebec</v>
      </c>
      <c r="M338" t="str">
        <f>""</f>
        <v/>
      </c>
      <c r="N338" t="s">
        <v>310</v>
      </c>
    </row>
    <row r="339" spans="1:14" hidden="1" x14ac:dyDescent="0.25">
      <c r="A339" t="str">
        <f>"Angelica"</f>
        <v>Angelica</v>
      </c>
      <c r="B339" t="str">
        <f>"Dubé"</f>
        <v>Dubé</v>
      </c>
      <c r="C339" t="str">
        <f>"Judo-Tech"</f>
        <v>Judo-Tech</v>
      </c>
      <c r="D339" t="str">
        <f>"F"</f>
        <v>F</v>
      </c>
      <c r="E339" t="s">
        <v>38</v>
      </c>
      <c r="F339" t="s">
        <v>64</v>
      </c>
      <c r="G339" t="str">
        <f>"U14"</f>
        <v>U14</v>
      </c>
      <c r="H339" t="str">
        <f>"-52"</f>
        <v>-52</v>
      </c>
      <c r="I339" t="str">
        <f>"0184385"</f>
        <v>0184385</v>
      </c>
      <c r="J339" t="str">
        <f>"Yes"</f>
        <v>Yes</v>
      </c>
      <c r="K339" t="str">
        <f>"Quebec"</f>
        <v>Quebec</v>
      </c>
      <c r="N339" t="s">
        <v>293</v>
      </c>
    </row>
    <row r="340" spans="1:14" hidden="1" x14ac:dyDescent="0.25">
      <c r="A340" t="str">
        <f>"William"</f>
        <v>William</v>
      </c>
      <c r="B340" t="str">
        <f>"Caron"</f>
        <v>Caron</v>
      </c>
      <c r="C340" t="str">
        <f>"Kime-Waza  Joliette"</f>
        <v>Kime-Waza  Joliette</v>
      </c>
      <c r="D340" t="str">
        <f>"M"</f>
        <v>M</v>
      </c>
      <c r="E340" t="s">
        <v>24</v>
      </c>
      <c r="F340" t="s">
        <v>18</v>
      </c>
      <c r="G340" t="s">
        <v>151</v>
      </c>
      <c r="H340" t="str">
        <f>"-55"</f>
        <v>-55</v>
      </c>
      <c r="I340" t="str">
        <f>"0173659"</f>
        <v>0173659</v>
      </c>
      <c r="J340" t="str">
        <f>"Yes"</f>
        <v>Yes</v>
      </c>
      <c r="K340" t="str">
        <f>"Quebec"</f>
        <v>Quebec</v>
      </c>
      <c r="M340" t="str">
        <f>"3 divisions : U16 + U18+ ne-waza"</f>
        <v>3 divisions : U16 + U18+ ne-waza</v>
      </c>
      <c r="N340" t="s">
        <v>318</v>
      </c>
    </row>
    <row r="341" spans="1:14" hidden="1" x14ac:dyDescent="0.25">
      <c r="A341" t="s">
        <v>218</v>
      </c>
      <c r="B341" t="s">
        <v>321</v>
      </c>
      <c r="C341" t="s">
        <v>99</v>
      </c>
      <c r="D341" t="s">
        <v>52</v>
      </c>
      <c r="E341" t="s">
        <v>71</v>
      </c>
      <c r="F341" t="s">
        <v>30</v>
      </c>
      <c r="G341" t="s">
        <v>85</v>
      </c>
      <c r="H341" s="1">
        <v>-66</v>
      </c>
      <c r="I341" t="s">
        <v>322</v>
      </c>
      <c r="J341" t="s">
        <v>46</v>
      </c>
      <c r="K341" t="s">
        <v>47</v>
      </c>
      <c r="M341" t="s">
        <v>157</v>
      </c>
      <c r="N341" t="s">
        <v>254</v>
      </c>
    </row>
    <row r="342" spans="1:14" hidden="1" x14ac:dyDescent="0.25">
      <c r="A342" t="s">
        <v>323</v>
      </c>
      <c r="B342" t="s">
        <v>324</v>
      </c>
      <c r="C342" t="s">
        <v>28</v>
      </c>
      <c r="D342" t="s">
        <v>52</v>
      </c>
      <c r="E342" t="s">
        <v>17</v>
      </c>
      <c r="F342" t="s">
        <v>30</v>
      </c>
      <c r="G342" t="s">
        <v>72</v>
      </c>
      <c r="H342">
        <v>-66</v>
      </c>
      <c r="I342" t="s">
        <v>325</v>
      </c>
      <c r="J342" t="s">
        <v>46</v>
      </c>
      <c r="K342" t="s">
        <v>47</v>
      </c>
      <c r="M342" t="s">
        <v>35</v>
      </c>
      <c r="N342" t="s">
        <v>248</v>
      </c>
    </row>
    <row r="343" spans="1:14" hidden="1" x14ac:dyDescent="0.25">
      <c r="A343" t="str">
        <f>"Youcef"</f>
        <v>Youcef</v>
      </c>
      <c r="B343" t="str">
        <f>"Ikene"</f>
        <v>Ikene</v>
      </c>
      <c r="C343" t="str">
        <f>"Métropolitain"</f>
        <v>Métropolitain</v>
      </c>
      <c r="D343" t="str">
        <f>"M"</f>
        <v>M</v>
      </c>
      <c r="E343" t="s">
        <v>14</v>
      </c>
      <c r="F343" t="s">
        <v>64</v>
      </c>
      <c r="G343" t="str">
        <f>"U14"</f>
        <v>U14</v>
      </c>
      <c r="H343" t="str">
        <f>"-38"</f>
        <v>-38</v>
      </c>
      <c r="I343" t="str">
        <f>"0195171"</f>
        <v>0195171</v>
      </c>
      <c r="J343" t="str">
        <f>"Yes"</f>
        <v>Yes</v>
      </c>
      <c r="K343" t="str">
        <f>"Quebec"</f>
        <v>Quebec</v>
      </c>
      <c r="M343" t="str">
        <f>""</f>
        <v/>
      </c>
      <c r="N343" t="s">
        <v>310</v>
      </c>
    </row>
    <row r="344" spans="1:14" hidden="1" x14ac:dyDescent="0.25">
      <c r="A344" t="str">
        <f>"Loundja"</f>
        <v>Loundja</v>
      </c>
      <c r="B344" t="str">
        <f>"Ikene"</f>
        <v>Ikene</v>
      </c>
      <c r="C344" t="str">
        <f>"Métropolitain"</f>
        <v>Métropolitain</v>
      </c>
      <c r="D344" t="str">
        <f>"F"</f>
        <v>F</v>
      </c>
      <c r="E344" t="s">
        <v>32</v>
      </c>
      <c r="F344" t="s">
        <v>39</v>
      </c>
      <c r="G344" t="str">
        <f>"U16"</f>
        <v>U16</v>
      </c>
      <c r="H344" t="str">
        <f>"-52"</f>
        <v>-52</v>
      </c>
      <c r="I344" t="str">
        <f>"0195172"</f>
        <v>0195172</v>
      </c>
      <c r="J344" t="str">
        <f>"Yes"</f>
        <v>Yes</v>
      </c>
      <c r="K344" t="str">
        <f>"Quebec"</f>
        <v>Quebec</v>
      </c>
      <c r="M344" t="str">
        <f>""</f>
        <v/>
      </c>
      <c r="N344" t="s">
        <v>292</v>
      </c>
    </row>
    <row r="345" spans="1:14" hidden="1" x14ac:dyDescent="0.25">
      <c r="A345" t="s">
        <v>69</v>
      </c>
      <c r="B345" t="s">
        <v>70</v>
      </c>
      <c r="C345" t="s">
        <v>59</v>
      </c>
      <c r="D345" t="s">
        <v>52</v>
      </c>
      <c r="E345" t="s">
        <v>71</v>
      </c>
      <c r="F345" t="s">
        <v>18</v>
      </c>
      <c r="G345" t="s">
        <v>326</v>
      </c>
      <c r="H345">
        <v>-100</v>
      </c>
      <c r="I345" t="s">
        <v>73</v>
      </c>
      <c r="J345" t="s">
        <v>46</v>
      </c>
      <c r="K345" t="s">
        <v>47</v>
      </c>
      <c r="N345" s="3" t="s">
        <v>83</v>
      </c>
    </row>
    <row r="346" spans="1:14" x14ac:dyDescent="0.25">
      <c r="A346" t="str">
        <f>"Xavier"</f>
        <v>Xavier</v>
      </c>
      <c r="B346" t="str">
        <f>"Godbout"</f>
        <v>Godbout</v>
      </c>
      <c r="C346" t="s">
        <v>313</v>
      </c>
      <c r="D346" t="str">
        <f>"M"</f>
        <v>M</v>
      </c>
      <c r="E346" t="s">
        <v>24</v>
      </c>
      <c r="F346" t="s">
        <v>18</v>
      </c>
      <c r="G346" t="s">
        <v>25</v>
      </c>
      <c r="H346" t="str">
        <f>"-66"</f>
        <v>-66</v>
      </c>
      <c r="I346" t="str">
        <f>"0198512"</f>
        <v>0198512</v>
      </c>
      <c r="J346" t="str">
        <f>"Yes"</f>
        <v>Yes</v>
      </c>
      <c r="K346" t="str">
        <f>"Quebec"</f>
        <v>Quebec</v>
      </c>
      <c r="N346" t="s">
        <v>295</v>
      </c>
    </row>
    <row r="347" spans="1:14" hidden="1" x14ac:dyDescent="0.25">
      <c r="A347" t="str">
        <f>"Elysabeth"</f>
        <v>Elysabeth</v>
      </c>
      <c r="B347" t="str">
        <f>"Lefebvre"</f>
        <v>Lefebvre</v>
      </c>
      <c r="C347" t="str">
        <f>"Shawinigan"</f>
        <v>Shawinigan</v>
      </c>
      <c r="D347" t="str">
        <f>"F"</f>
        <v>F</v>
      </c>
      <c r="E347" t="s">
        <v>24</v>
      </c>
      <c r="F347" t="s">
        <v>33</v>
      </c>
      <c r="G347" t="str">
        <f>"U16"</f>
        <v>U16</v>
      </c>
      <c r="H347" t="str">
        <f>"-52"</f>
        <v>-52</v>
      </c>
      <c r="I347" t="str">
        <f>"0203864"</f>
        <v>0203864</v>
      </c>
      <c r="J347" t="str">
        <f>"Yes"</f>
        <v>Yes</v>
      </c>
      <c r="K347" t="str">
        <f>"Quebec"</f>
        <v>Quebec</v>
      </c>
      <c r="N347" t="s">
        <v>292</v>
      </c>
    </row>
    <row r="348" spans="1:14" hidden="1" x14ac:dyDescent="0.25">
      <c r="A348" t="str">
        <f>"Rebeca"</f>
        <v>Rebeca</v>
      </c>
      <c r="B348" t="str">
        <f>"Manaila"</f>
        <v>Manaila</v>
      </c>
      <c r="C348" t="s">
        <v>28</v>
      </c>
      <c r="D348" t="str">
        <f>"F"</f>
        <v>F</v>
      </c>
      <c r="E348" t="s">
        <v>24</v>
      </c>
      <c r="F348" t="s">
        <v>18</v>
      </c>
      <c r="G348" t="str">
        <f>"U16"</f>
        <v>U16</v>
      </c>
      <c r="H348" t="str">
        <f>"-52"</f>
        <v>-52</v>
      </c>
      <c r="I348" t="str">
        <f>"0204299"</f>
        <v>0204299</v>
      </c>
      <c r="J348" t="str">
        <f>"Yes"</f>
        <v>Yes</v>
      </c>
      <c r="K348" t="str">
        <f>"Quebec"</f>
        <v>Quebec</v>
      </c>
      <c r="N348" t="s">
        <v>292</v>
      </c>
    </row>
    <row r="349" spans="1:14" hidden="1" x14ac:dyDescent="0.25">
      <c r="A349" t="str">
        <f>"Mélodie"</f>
        <v>Mélodie</v>
      </c>
      <c r="B349" t="str">
        <f>"Mailhot-Senez"</f>
        <v>Mailhot-Senez</v>
      </c>
      <c r="C349" t="str">
        <f>"Bushidokan"</f>
        <v>Bushidokan</v>
      </c>
      <c r="D349" t="str">
        <f>"F"</f>
        <v>F</v>
      </c>
      <c r="E349" t="s">
        <v>71</v>
      </c>
      <c r="F349" t="s">
        <v>18</v>
      </c>
      <c r="G349" t="s">
        <v>85</v>
      </c>
      <c r="H349" t="str">
        <f>"-52"</f>
        <v>-52</v>
      </c>
      <c r="I349" t="str">
        <f>"0146269"</f>
        <v>0146269</v>
      </c>
      <c r="J349" t="str">
        <f>"Yes"</f>
        <v>Yes</v>
      </c>
      <c r="K349" t="str">
        <f>"Quebec"</f>
        <v>Quebec</v>
      </c>
      <c r="M349" t="str">
        <f>"2 divisions : U21/Senior B + Senior A"</f>
        <v>2 divisions : U21/Senior B + Senior A</v>
      </c>
      <c r="N349" t="s">
        <v>234</v>
      </c>
    </row>
    <row r="350" spans="1:14" hidden="1" x14ac:dyDescent="0.25">
      <c r="A350" t="str">
        <f>"Guillaume"</f>
        <v>Guillaume</v>
      </c>
      <c r="B350" t="str">
        <f>"Charlebois"</f>
        <v>Charlebois</v>
      </c>
      <c r="C350" t="str">
        <f>"Kime-Waza  Joliette"</f>
        <v>Kime-Waza  Joliette</v>
      </c>
      <c r="D350" t="str">
        <f>"M"</f>
        <v>M</v>
      </c>
      <c r="E350" t="s">
        <v>32</v>
      </c>
      <c r="F350" t="s">
        <v>64</v>
      </c>
      <c r="G350" t="str">
        <f>"U16"</f>
        <v>U16</v>
      </c>
      <c r="H350" t="str">
        <f>"-55"</f>
        <v>-55</v>
      </c>
      <c r="I350" t="str">
        <f>"0217411"</f>
        <v>0217411</v>
      </c>
      <c r="J350" t="str">
        <f>"Yes"</f>
        <v>Yes</v>
      </c>
      <c r="K350" t="str">
        <f>"Quebec"</f>
        <v>Quebec</v>
      </c>
      <c r="M350" t="str">
        <f>""</f>
        <v/>
      </c>
      <c r="N350" t="s">
        <v>318</v>
      </c>
    </row>
    <row r="351" spans="1:14" hidden="1" x14ac:dyDescent="0.25">
      <c r="A351" t="str">
        <f>"Edouard"</f>
        <v>Edouard</v>
      </c>
      <c r="B351" t="str">
        <f>"Landry"</f>
        <v>Landry</v>
      </c>
      <c r="C351" t="str">
        <f>"Judokas Jonquière"</f>
        <v>Judokas Jonquière</v>
      </c>
      <c r="D351" t="str">
        <f>"M"</f>
        <v>M</v>
      </c>
      <c r="E351" t="s">
        <v>38</v>
      </c>
      <c r="F351" t="s">
        <v>64</v>
      </c>
      <c r="G351" t="str">
        <f>"U14"</f>
        <v>U14</v>
      </c>
      <c r="H351" t="str">
        <f>"-38"</f>
        <v>-38</v>
      </c>
      <c r="I351" t="str">
        <f>"0192225"</f>
        <v>0192225</v>
      </c>
      <c r="J351" t="str">
        <f>"Yes"</f>
        <v>Yes</v>
      </c>
      <c r="K351" t="str">
        <f>"Quebec"</f>
        <v>Quebec</v>
      </c>
      <c r="N351" t="s">
        <v>310</v>
      </c>
    </row>
    <row r="352" spans="1:14" hidden="1" x14ac:dyDescent="0.25">
      <c r="A352" t="str">
        <f>"Rima"</f>
        <v>Rima</v>
      </c>
      <c r="B352" t="str">
        <f>"Bourihane"</f>
        <v>Bourihane</v>
      </c>
      <c r="C352" t="str">
        <f>"St-Leonard"</f>
        <v>St-Leonard</v>
      </c>
      <c r="D352" t="str">
        <f>"F"</f>
        <v>F</v>
      </c>
      <c r="E352" t="s">
        <v>38</v>
      </c>
      <c r="F352" t="s">
        <v>90</v>
      </c>
      <c r="G352" t="str">
        <f>"U14"</f>
        <v>U14</v>
      </c>
      <c r="H352" t="str">
        <f>"-44"</f>
        <v>-44</v>
      </c>
      <c r="I352" t="str">
        <f>"0207727"</f>
        <v>0207727</v>
      </c>
      <c r="J352" t="str">
        <f>"Yes"</f>
        <v>Yes</v>
      </c>
      <c r="K352" t="str">
        <f>"Quebec"</f>
        <v>Quebec</v>
      </c>
      <c r="M352" t="str">
        <f>""</f>
        <v/>
      </c>
      <c r="N352" t="s">
        <v>327</v>
      </c>
    </row>
    <row r="353" spans="1:14" hidden="1" x14ac:dyDescent="0.25">
      <c r="A353" t="str">
        <f>"Olivier"</f>
        <v>Olivier</v>
      </c>
      <c r="B353" t="str">
        <f>"Morin"</f>
        <v>Morin</v>
      </c>
      <c r="C353" t="str">
        <f>"Hontaï Dojo"</f>
        <v>Hontaï Dojo</v>
      </c>
      <c r="D353" t="str">
        <f>"M"</f>
        <v>M</v>
      </c>
      <c r="E353" t="s">
        <v>38</v>
      </c>
      <c r="F353" t="s">
        <v>33</v>
      </c>
      <c r="G353" t="str">
        <f>"U14"</f>
        <v>U14</v>
      </c>
      <c r="H353" t="str">
        <f>"-38"</f>
        <v>-38</v>
      </c>
      <c r="I353" t="str">
        <f>"0194263"</f>
        <v>0194263</v>
      </c>
      <c r="J353" t="str">
        <f>"Yes"</f>
        <v>Yes</v>
      </c>
      <c r="K353" t="str">
        <f>"Quebec"</f>
        <v>Quebec</v>
      </c>
      <c r="N353" t="s">
        <v>310</v>
      </c>
    </row>
    <row r="354" spans="1:14" hidden="1" x14ac:dyDescent="0.25">
      <c r="A354" t="str">
        <f>"Anastasya"</f>
        <v>Anastasya</v>
      </c>
      <c r="B354" t="str">
        <f>"Semyrozum"</f>
        <v>Semyrozum</v>
      </c>
      <c r="C354" t="str">
        <f>"Sport Ippon"</f>
        <v>Sport Ippon</v>
      </c>
      <c r="D354" t="str">
        <f>"F"</f>
        <v>F</v>
      </c>
      <c r="E354" t="s">
        <v>24</v>
      </c>
      <c r="F354" t="s">
        <v>39</v>
      </c>
      <c r="G354" t="str">
        <f>"U16"</f>
        <v>U16</v>
      </c>
      <c r="H354" t="str">
        <f>"-52"</f>
        <v>-52</v>
      </c>
      <c r="I354" t="str">
        <f>"0203071"</f>
        <v>0203071</v>
      </c>
      <c r="J354" t="str">
        <f>"Yes"</f>
        <v>Yes</v>
      </c>
      <c r="K354" t="str">
        <f>"Quebec"</f>
        <v>Quebec</v>
      </c>
      <c r="N354" t="s">
        <v>292</v>
      </c>
    </row>
    <row r="355" spans="1:14" hidden="1" x14ac:dyDescent="0.25">
      <c r="A355" t="str">
        <f>"Nathan"</f>
        <v>Nathan</v>
      </c>
      <c r="B355" t="str">
        <f>"Sauriol"</f>
        <v>Sauriol</v>
      </c>
      <c r="C355" t="str">
        <f>"Blainville"</f>
        <v>Blainville</v>
      </c>
      <c r="D355" t="str">
        <f>"M"</f>
        <v>M</v>
      </c>
      <c r="E355" t="s">
        <v>71</v>
      </c>
      <c r="F355" t="s">
        <v>18</v>
      </c>
      <c r="G355" t="s">
        <v>72</v>
      </c>
      <c r="H355" t="str">
        <f>"-66"</f>
        <v>-66</v>
      </c>
      <c r="I355" t="str">
        <f>"0173782"</f>
        <v>0173782</v>
      </c>
      <c r="J355" t="str">
        <f>"Yes"</f>
        <v>Yes</v>
      </c>
      <c r="K355" t="str">
        <f>"Quebec"</f>
        <v>Quebec</v>
      </c>
      <c r="M355" t="str">
        <f>"2 divisions : U21/Senior B + Senior A"</f>
        <v>2 divisions : U21/Senior B + Senior A</v>
      </c>
      <c r="N355" t="s">
        <v>248</v>
      </c>
    </row>
    <row r="356" spans="1:14" hidden="1" x14ac:dyDescent="0.25">
      <c r="A356" t="str">
        <f>"Raphael"</f>
        <v>Raphael</v>
      </c>
      <c r="B356" t="str">
        <f>"Jeannotte"</f>
        <v>Jeannotte</v>
      </c>
      <c r="C356" t="str">
        <f>"Judo-Tech"</f>
        <v>Judo-Tech</v>
      </c>
      <c r="D356" t="str">
        <f>"M"</f>
        <v>M</v>
      </c>
      <c r="E356" t="s">
        <v>60</v>
      </c>
      <c r="F356" t="s">
        <v>22</v>
      </c>
      <c r="G356" t="str">
        <f>"U12"</f>
        <v>U12</v>
      </c>
      <c r="H356" t="str">
        <f>"-30"</f>
        <v>-30</v>
      </c>
      <c r="I356" t="str">
        <f>"0218569"</f>
        <v>0218569</v>
      </c>
      <c r="J356" t="str">
        <f>"Yes"</f>
        <v>Yes</v>
      </c>
      <c r="K356" t="str">
        <f>"Quebec"</f>
        <v>Quebec</v>
      </c>
      <c r="N356" t="s">
        <v>23</v>
      </c>
    </row>
    <row r="357" spans="1:14" hidden="1" x14ac:dyDescent="0.25">
      <c r="A357" t="str">
        <f>"Jules"</f>
        <v>Jules</v>
      </c>
      <c r="B357" t="str">
        <f>"Passelande"</f>
        <v>Passelande</v>
      </c>
      <c r="C357" t="str">
        <f>"Varennes"</f>
        <v>Varennes</v>
      </c>
      <c r="D357" t="str">
        <f>"M"</f>
        <v>M</v>
      </c>
      <c r="E357" t="s">
        <v>14</v>
      </c>
      <c r="F357" t="s">
        <v>64</v>
      </c>
      <c r="G357" t="str">
        <f>"U14"</f>
        <v>U14</v>
      </c>
      <c r="H357" t="str">
        <f>"-38"</f>
        <v>-38</v>
      </c>
      <c r="I357" t="str">
        <f>"0197012"</f>
        <v>0197012</v>
      </c>
      <c r="J357" t="str">
        <f>"Yes"</f>
        <v>Yes</v>
      </c>
      <c r="K357" t="str">
        <f>"Quebec"</f>
        <v>Quebec</v>
      </c>
      <c r="M357" t="str">
        <f>""</f>
        <v/>
      </c>
      <c r="N357" t="s">
        <v>310</v>
      </c>
    </row>
    <row r="358" spans="1:14" hidden="1" x14ac:dyDescent="0.25">
      <c r="A358" t="s">
        <v>328</v>
      </c>
      <c r="B358" t="s">
        <v>114</v>
      </c>
      <c r="C358" t="s">
        <v>59</v>
      </c>
      <c r="D358" t="s">
        <v>52</v>
      </c>
      <c r="E358" t="s">
        <v>32</v>
      </c>
      <c r="F358" t="s">
        <v>15</v>
      </c>
      <c r="G358" t="s">
        <v>151</v>
      </c>
      <c r="H358">
        <v>-55</v>
      </c>
      <c r="I358" t="s">
        <v>329</v>
      </c>
      <c r="J358" t="s">
        <v>46</v>
      </c>
      <c r="K358" t="s">
        <v>47</v>
      </c>
      <c r="N358" t="s">
        <v>301</v>
      </c>
    </row>
    <row r="359" spans="1:14" hidden="1" x14ac:dyDescent="0.25">
      <c r="A359" t="str">
        <f>"Justine"</f>
        <v>Justine</v>
      </c>
      <c r="B359" t="str">
        <f>"Courtois"</f>
        <v>Courtois</v>
      </c>
      <c r="C359" t="str">
        <f>"Kime-Waza  Joliette"</f>
        <v>Kime-Waza  Joliette</v>
      </c>
      <c r="D359" t="str">
        <f>"F"</f>
        <v>F</v>
      </c>
      <c r="E359" t="s">
        <v>14</v>
      </c>
      <c r="F359" t="s">
        <v>37</v>
      </c>
      <c r="G359" t="str">
        <f>"U14"</f>
        <v>U14</v>
      </c>
      <c r="H359" t="str">
        <f>"-44"</f>
        <v>-44</v>
      </c>
      <c r="I359" t="str">
        <f>"0180981"</f>
        <v>0180981</v>
      </c>
      <c r="J359" t="str">
        <f>"Yes"</f>
        <v>Yes</v>
      </c>
      <c r="K359" t="str">
        <f>"Quebec"</f>
        <v>Quebec</v>
      </c>
      <c r="M359" t="str">
        <f>""</f>
        <v/>
      </c>
      <c r="N359" t="s">
        <v>327</v>
      </c>
    </row>
    <row r="360" spans="1:14" hidden="1" x14ac:dyDescent="0.25">
      <c r="A360" t="str">
        <f>"Martin"</f>
        <v>Martin</v>
      </c>
      <c r="B360" t="str">
        <f>"Gauthier"</f>
        <v>Gauthier</v>
      </c>
      <c r="C360" t="str">
        <f>"Torakai"</f>
        <v>Torakai</v>
      </c>
      <c r="D360" t="str">
        <f>"M"</f>
        <v>M</v>
      </c>
      <c r="E360" t="s">
        <v>302</v>
      </c>
      <c r="F360" t="s">
        <v>18</v>
      </c>
      <c r="G360" t="str">
        <f>"Master"</f>
        <v>Master</v>
      </c>
      <c r="H360" t="str">
        <f>"-73"</f>
        <v>-73</v>
      </c>
      <c r="I360" t="str">
        <f>"0230051"</f>
        <v>0230051</v>
      </c>
      <c r="J360" t="str">
        <f>"Yes"</f>
        <v>Yes</v>
      </c>
      <c r="K360" t="str">
        <f>"Quebec"</f>
        <v>Quebec</v>
      </c>
      <c r="N360" t="s">
        <v>320</v>
      </c>
    </row>
    <row r="361" spans="1:14" hidden="1" x14ac:dyDescent="0.25">
      <c r="A361" t="str">
        <f>"Kevin"</f>
        <v>Kevin</v>
      </c>
      <c r="B361" t="str">
        <f>"Colasse"</f>
        <v>Colasse</v>
      </c>
      <c r="C361" t="s">
        <v>258</v>
      </c>
      <c r="D361" t="str">
        <f>"M"</f>
        <v>M</v>
      </c>
      <c r="E361" t="s">
        <v>302</v>
      </c>
      <c r="F361" t="s">
        <v>30</v>
      </c>
      <c r="G361" t="str">
        <f>"Master"</f>
        <v>Master</v>
      </c>
      <c r="H361" t="str">
        <f>"-81"</f>
        <v>-81</v>
      </c>
      <c r="I361" t="str">
        <f>"0200082"</f>
        <v>0200082</v>
      </c>
      <c r="J361" t="str">
        <f>"Yes"</f>
        <v>Yes</v>
      </c>
      <c r="K361" t="str">
        <f>"Quebec"</f>
        <v>Quebec</v>
      </c>
      <c r="M361" t="str">
        <f>""</f>
        <v/>
      </c>
      <c r="N361" t="s">
        <v>330</v>
      </c>
    </row>
    <row r="362" spans="1:14" hidden="1" x14ac:dyDescent="0.25">
      <c r="A362" t="str">
        <f>"Ousmane"</f>
        <v>Ousmane</v>
      </c>
      <c r="B362" t="str">
        <f>"Kane"</f>
        <v>Kane</v>
      </c>
      <c r="C362" t="str">
        <f>"Olympique"</f>
        <v>Olympique</v>
      </c>
      <c r="D362" t="str">
        <f>"M"</f>
        <v>M</v>
      </c>
      <c r="E362" t="s">
        <v>21</v>
      </c>
      <c r="F362" t="s">
        <v>37</v>
      </c>
      <c r="G362" t="str">
        <f>"U12"</f>
        <v>U12</v>
      </c>
      <c r="H362" t="str">
        <f>"-42"</f>
        <v>-42</v>
      </c>
      <c r="I362" t="str">
        <f>"0226663"</f>
        <v>0226663</v>
      </c>
      <c r="J362" t="str">
        <f>"Yes"</f>
        <v>Yes</v>
      </c>
      <c r="K362" t="str">
        <f>"Quebec"</f>
        <v>Quebec</v>
      </c>
      <c r="N362" t="s">
        <v>23</v>
      </c>
    </row>
    <row r="363" spans="1:14" hidden="1" x14ac:dyDescent="0.25">
      <c r="A363" t="str">
        <f>"Louis"</f>
        <v>Louis</v>
      </c>
      <c r="B363" t="str">
        <f>"Doyon"</f>
        <v>Doyon</v>
      </c>
      <c r="C363" t="str">
        <f>"Univestrie/donini"</f>
        <v>Univestrie/donini</v>
      </c>
      <c r="D363" t="str">
        <f>"M"</f>
        <v>M</v>
      </c>
      <c r="E363" t="s">
        <v>32</v>
      </c>
      <c r="F363" t="s">
        <v>33</v>
      </c>
      <c r="G363" t="str">
        <f>"U16"</f>
        <v>U16</v>
      </c>
      <c r="H363" t="str">
        <f>"-55"</f>
        <v>-55</v>
      </c>
      <c r="I363" t="str">
        <f>"0200647"</f>
        <v>0200647</v>
      </c>
      <c r="J363" t="str">
        <f>"Yes"</f>
        <v>Yes</v>
      </c>
      <c r="K363" t="str">
        <f>"Quebec"</f>
        <v>Quebec</v>
      </c>
      <c r="N363" t="s">
        <v>318</v>
      </c>
    </row>
    <row r="364" spans="1:14" hidden="1" x14ac:dyDescent="0.25">
      <c r="A364" t="str">
        <f>"Samson"</f>
        <v>Samson</v>
      </c>
      <c r="B364" t="str">
        <f>"Gill"</f>
        <v>Gill</v>
      </c>
      <c r="C364" t="str">
        <f>"Métropolitain"</f>
        <v>Métropolitain</v>
      </c>
      <c r="D364" t="str">
        <f>"M"</f>
        <v>M</v>
      </c>
      <c r="E364" s="3" t="s">
        <v>38</v>
      </c>
      <c r="F364" t="s">
        <v>64</v>
      </c>
      <c r="G364" t="s">
        <v>151</v>
      </c>
      <c r="H364" t="str">
        <f>"-55"</f>
        <v>-55</v>
      </c>
      <c r="I364" t="str">
        <f>"0213818"</f>
        <v>0213818</v>
      </c>
      <c r="J364" t="str">
        <f>"Yes"</f>
        <v>Yes</v>
      </c>
      <c r="K364" t="str">
        <f>"Quebec"</f>
        <v>Quebec</v>
      </c>
      <c r="M364" t="s">
        <v>331</v>
      </c>
      <c r="N364" t="s">
        <v>318</v>
      </c>
    </row>
    <row r="365" spans="1:14" hidden="1" x14ac:dyDescent="0.25">
      <c r="A365" t="str">
        <f>"Jérémy"</f>
        <v>Jérémy</v>
      </c>
      <c r="B365" t="str">
        <f>"Grenier"</f>
        <v>Grenier</v>
      </c>
      <c r="C365" t="str">
        <f>"Ju Shin Kan"</f>
        <v>Ju Shin Kan</v>
      </c>
      <c r="D365" t="str">
        <f>"M"</f>
        <v>M</v>
      </c>
      <c r="E365" t="s">
        <v>24</v>
      </c>
      <c r="F365" t="s">
        <v>18</v>
      </c>
      <c r="G365" t="str">
        <f>"U16"</f>
        <v>U16</v>
      </c>
      <c r="H365" t="str">
        <f>"-55"</f>
        <v>-55</v>
      </c>
      <c r="I365" t="str">
        <f>"0162609"</f>
        <v>0162609</v>
      </c>
      <c r="J365" t="str">
        <f>"Yes"</f>
        <v>Yes</v>
      </c>
      <c r="K365" t="str">
        <f>"Quebec"</f>
        <v>Quebec</v>
      </c>
      <c r="N365" t="s">
        <v>318</v>
      </c>
    </row>
    <row r="366" spans="1:14" hidden="1" x14ac:dyDescent="0.25">
      <c r="A366" t="str">
        <f>"Ayman"</f>
        <v>Ayman</v>
      </c>
      <c r="B366" t="str">
        <f>"Tibary"</f>
        <v>Tibary</v>
      </c>
      <c r="C366" t="str">
        <f>"Olympique"</f>
        <v>Olympique</v>
      </c>
      <c r="D366" t="str">
        <f>"M"</f>
        <v>M</v>
      </c>
      <c r="E366" t="s">
        <v>24</v>
      </c>
      <c r="F366" t="s">
        <v>37</v>
      </c>
      <c r="G366" t="str">
        <f>"U16"</f>
        <v>U16</v>
      </c>
      <c r="H366" t="str">
        <f>"-55"</f>
        <v>-55</v>
      </c>
      <c r="I366" t="str">
        <f>"0410447"</f>
        <v>0410447</v>
      </c>
      <c r="J366" t="str">
        <f>"Yes"</f>
        <v>Yes</v>
      </c>
      <c r="K366" t="str">
        <f>"Quebec"</f>
        <v>Quebec</v>
      </c>
      <c r="N366" t="s">
        <v>301</v>
      </c>
    </row>
    <row r="367" spans="1:14" hidden="1" x14ac:dyDescent="0.25">
      <c r="A367" t="str">
        <f>"Marie-Soleil"</f>
        <v>Marie-Soleil</v>
      </c>
      <c r="B367" t="str">
        <f>"Lapointe"</f>
        <v>Lapointe</v>
      </c>
      <c r="C367" t="s">
        <v>258</v>
      </c>
      <c r="D367" t="str">
        <f>"F"</f>
        <v>F</v>
      </c>
      <c r="E367" t="s">
        <v>332</v>
      </c>
      <c r="F367" t="s">
        <v>30</v>
      </c>
      <c r="G367" t="str">
        <f>"Senior A"</f>
        <v>Senior A</v>
      </c>
      <c r="H367" s="1" t="str">
        <f>"+78"</f>
        <v>+78</v>
      </c>
      <c r="I367" t="str">
        <f>"0012828"</f>
        <v>0012828</v>
      </c>
      <c r="J367" t="str">
        <f>"Yes"</f>
        <v>Yes</v>
      </c>
      <c r="K367" t="str">
        <f>"Quebec"</f>
        <v>Quebec</v>
      </c>
      <c r="M367" t="s">
        <v>110</v>
      </c>
      <c r="N367" t="s">
        <v>333</v>
      </c>
    </row>
    <row r="368" spans="1:14" hidden="1" x14ac:dyDescent="0.25">
      <c r="A368" t="str">
        <f>"Julien"</f>
        <v>Julien</v>
      </c>
      <c r="B368" t="str">
        <f>"Rodgers"</f>
        <v>Rodgers</v>
      </c>
      <c r="C368" t="str">
        <f>"Sept-Iles"</f>
        <v>Sept-Iles</v>
      </c>
      <c r="D368" t="str">
        <f>"M"</f>
        <v>M</v>
      </c>
      <c r="E368" t="s">
        <v>14</v>
      </c>
      <c r="F368" t="s">
        <v>39</v>
      </c>
      <c r="G368" t="str">
        <f>"U14"</f>
        <v>U14</v>
      </c>
      <c r="H368" t="str">
        <f>"-38"</f>
        <v>-38</v>
      </c>
      <c r="I368" t="str">
        <f>"0174375"</f>
        <v>0174375</v>
      </c>
      <c r="J368" t="str">
        <f>"Yes"</f>
        <v>Yes</v>
      </c>
      <c r="K368" t="str">
        <f>"Quebec"</f>
        <v>Quebec</v>
      </c>
      <c r="N368" t="s">
        <v>310</v>
      </c>
    </row>
    <row r="369" spans="1:14" hidden="1" x14ac:dyDescent="0.25">
      <c r="A369" t="str">
        <f>"Mehdi"</f>
        <v>Mehdi</v>
      </c>
      <c r="B369" t="str">
        <f>"Abane"</f>
        <v>Abane</v>
      </c>
      <c r="C369" t="str">
        <f>"Torii"</f>
        <v>Torii</v>
      </c>
      <c r="D369" t="str">
        <f>"M"</f>
        <v>M</v>
      </c>
      <c r="E369" t="s">
        <v>38</v>
      </c>
      <c r="F369" t="s">
        <v>90</v>
      </c>
      <c r="G369" t="str">
        <f>"U14"</f>
        <v>U14</v>
      </c>
      <c r="H369" t="str">
        <f>"-42"</f>
        <v>-42</v>
      </c>
      <c r="I369" t="str">
        <f>"0189893"</f>
        <v>0189893</v>
      </c>
      <c r="J369" t="str">
        <f>"Yes"</f>
        <v>Yes</v>
      </c>
      <c r="K369" t="str">
        <f>"Quebec"</f>
        <v>Quebec</v>
      </c>
      <c r="N369" t="s">
        <v>334</v>
      </c>
    </row>
    <row r="370" spans="1:14" hidden="1" x14ac:dyDescent="0.25">
      <c r="A370" t="str">
        <f>"Amit"</f>
        <v>Amit</v>
      </c>
      <c r="B370" t="str">
        <f>"Koren"</f>
        <v>Koren</v>
      </c>
      <c r="C370" t="str">
        <f>"Shidokan"</f>
        <v>Shidokan</v>
      </c>
      <c r="D370" t="str">
        <f>"M"</f>
        <v>M</v>
      </c>
      <c r="E370" t="s">
        <v>21</v>
      </c>
      <c r="F370" t="s">
        <v>22</v>
      </c>
      <c r="G370" t="str">
        <f>"U12"</f>
        <v>U12</v>
      </c>
      <c r="H370" t="str">
        <f>"-33"</f>
        <v>-33</v>
      </c>
      <c r="I370" t="str">
        <f>"0410104"</f>
        <v>0410104</v>
      </c>
      <c r="J370" t="str">
        <f>"Yes"</f>
        <v>Yes</v>
      </c>
      <c r="K370" t="str">
        <f>"Quebec"</f>
        <v>Quebec</v>
      </c>
      <c r="M370" t="str">
        <f>""</f>
        <v/>
      </c>
      <c r="N370" t="s">
        <v>23</v>
      </c>
    </row>
    <row r="371" spans="1:14" hidden="1" x14ac:dyDescent="0.25">
      <c r="A371" t="str">
        <f>"Samuel"</f>
        <v>Samuel</v>
      </c>
      <c r="B371" t="str">
        <f>"Lévesque"</f>
        <v>Lévesque</v>
      </c>
      <c r="C371" t="str">
        <f>"Shidokan"</f>
        <v>Shidokan</v>
      </c>
      <c r="D371" t="str">
        <f>"M"</f>
        <v>M</v>
      </c>
      <c r="E371" t="s">
        <v>281</v>
      </c>
      <c r="F371" t="s">
        <v>18</v>
      </c>
      <c r="G371" t="s">
        <v>85</v>
      </c>
      <c r="H371" s="1" t="str">
        <f>"-66"</f>
        <v>-66</v>
      </c>
      <c r="I371" t="str">
        <f>"0097193"</f>
        <v>0097193</v>
      </c>
      <c r="J371" t="str">
        <f>"Yes"</f>
        <v>Yes</v>
      </c>
      <c r="K371" t="str">
        <f>"Quebec"</f>
        <v>Quebec</v>
      </c>
      <c r="M371" t="str">
        <f>"2 divisions : U21/Senior B + Senior A"</f>
        <v>2 divisions : U21/Senior B + Senior A</v>
      </c>
      <c r="N371" t="s">
        <v>254</v>
      </c>
    </row>
    <row r="372" spans="1:14" hidden="1" x14ac:dyDescent="0.25">
      <c r="A372" t="s">
        <v>335</v>
      </c>
      <c r="B372" t="s">
        <v>336</v>
      </c>
      <c r="C372" t="s">
        <v>81</v>
      </c>
      <c r="D372" t="s">
        <v>52</v>
      </c>
      <c r="E372" t="s">
        <v>17</v>
      </c>
      <c r="F372" t="s">
        <v>18</v>
      </c>
      <c r="G372" t="s">
        <v>72</v>
      </c>
      <c r="H372">
        <v>-66</v>
      </c>
      <c r="I372" t="s">
        <v>337</v>
      </c>
      <c r="J372" t="s">
        <v>46</v>
      </c>
      <c r="K372" t="s">
        <v>47</v>
      </c>
      <c r="M372" t="s">
        <v>35</v>
      </c>
      <c r="N372" t="s">
        <v>248</v>
      </c>
    </row>
    <row r="373" spans="1:14" hidden="1" x14ac:dyDescent="0.25">
      <c r="A373" t="str">
        <f>"Marc-Alexandre"</f>
        <v>Marc-Alexandre</v>
      </c>
      <c r="B373" t="str">
        <f>"Guérin"</f>
        <v>Guérin</v>
      </c>
      <c r="C373" t="str">
        <f>"Judokas Jonquière"</f>
        <v>Judokas Jonquière</v>
      </c>
      <c r="D373" t="str">
        <f>"M"</f>
        <v>M</v>
      </c>
      <c r="E373" t="s">
        <v>24</v>
      </c>
      <c r="F373" t="s">
        <v>107</v>
      </c>
      <c r="G373" t="s">
        <v>151</v>
      </c>
      <c r="H373" t="str">
        <f>"-55"</f>
        <v>-55</v>
      </c>
      <c r="I373" t="str">
        <f>"0163304"</f>
        <v>0163304</v>
      </c>
      <c r="J373" t="str">
        <f>"Yes"</f>
        <v>Yes</v>
      </c>
      <c r="K373" t="str">
        <f>"Quebec"</f>
        <v>Quebec</v>
      </c>
      <c r="N373" t="s">
        <v>318</v>
      </c>
    </row>
    <row r="374" spans="1:14" hidden="1" x14ac:dyDescent="0.25">
      <c r="A374" t="str">
        <f>"Justin"</f>
        <v>Justin</v>
      </c>
      <c r="B374" t="str">
        <f>"Laporte"</f>
        <v>Laporte</v>
      </c>
      <c r="C374" t="str">
        <f>"Kime-Waza  Joliette"</f>
        <v>Kime-Waza  Joliette</v>
      </c>
      <c r="D374" t="str">
        <f>"M"</f>
        <v>M</v>
      </c>
      <c r="E374" t="s">
        <v>38</v>
      </c>
      <c r="F374" t="s">
        <v>64</v>
      </c>
      <c r="G374" t="str">
        <f>"U14"</f>
        <v>U14</v>
      </c>
      <c r="H374" t="str">
        <f>"-66"</f>
        <v>-66</v>
      </c>
      <c r="I374" t="str">
        <f>"0181590"</f>
        <v>0181590</v>
      </c>
      <c r="J374" t="str">
        <f>"Yes"</f>
        <v>Yes</v>
      </c>
      <c r="K374" t="str">
        <f>"Quebec"</f>
        <v>Quebec</v>
      </c>
      <c r="M374" t="s">
        <v>19</v>
      </c>
      <c r="N374" t="s">
        <v>338</v>
      </c>
    </row>
    <row r="375" spans="1:14" hidden="1" x14ac:dyDescent="0.25">
      <c r="A375" t="str">
        <f>"Antoine"</f>
        <v>Antoine</v>
      </c>
      <c r="B375" t="str">
        <f>"Gendron"</f>
        <v>Gendron</v>
      </c>
      <c r="C375" t="str">
        <f>"Judokas Jonquière"</f>
        <v>Judokas Jonquière</v>
      </c>
      <c r="D375" t="str">
        <f>"M"</f>
        <v>M</v>
      </c>
      <c r="E375" t="s">
        <v>38</v>
      </c>
      <c r="F375" t="s">
        <v>15</v>
      </c>
      <c r="G375" t="str">
        <f>"U14"</f>
        <v>U14</v>
      </c>
      <c r="H375" t="str">
        <f>"-42"</f>
        <v>-42</v>
      </c>
      <c r="I375" t="str">
        <f>"0411484"</f>
        <v>0411484</v>
      </c>
      <c r="J375" t="str">
        <f>"Yes"</f>
        <v>Yes</v>
      </c>
      <c r="K375" t="str">
        <f>"Quebec"</f>
        <v>Quebec</v>
      </c>
      <c r="N375" t="s">
        <v>334</v>
      </c>
    </row>
    <row r="376" spans="1:14" hidden="1" x14ac:dyDescent="0.25">
      <c r="A376" t="str">
        <f>"Nathan"</f>
        <v>Nathan</v>
      </c>
      <c r="B376" t="str">
        <f>"Morin"</f>
        <v>Morin</v>
      </c>
      <c r="C376" t="str">
        <f>"Judo Beauce"</f>
        <v>Judo Beauce</v>
      </c>
      <c r="D376" t="str">
        <f>"M"</f>
        <v>M</v>
      </c>
      <c r="E376" t="s">
        <v>14</v>
      </c>
      <c r="F376" t="s">
        <v>15</v>
      </c>
      <c r="G376" t="str">
        <f>"U14"</f>
        <v>U14</v>
      </c>
      <c r="H376" t="str">
        <f>"-42"</f>
        <v>-42</v>
      </c>
      <c r="I376" t="str">
        <f>"0410792"</f>
        <v>0410792</v>
      </c>
      <c r="J376" t="str">
        <f>"Yes"</f>
        <v>Yes</v>
      </c>
      <c r="K376" t="str">
        <f>"Quebec"</f>
        <v>Quebec</v>
      </c>
      <c r="N376" t="s">
        <v>334</v>
      </c>
    </row>
    <row r="377" spans="1:14" hidden="1" x14ac:dyDescent="0.25">
      <c r="A377" t="str">
        <f>"Alyssa"</f>
        <v>Alyssa</v>
      </c>
      <c r="B377" t="str">
        <f>"Bellavance"</f>
        <v>Bellavance</v>
      </c>
      <c r="C377" t="str">
        <f>"Saint-Hyacinthe"</f>
        <v>Saint-Hyacinthe</v>
      </c>
      <c r="D377" t="str">
        <f>"F"</f>
        <v>F</v>
      </c>
      <c r="E377" t="s">
        <v>32</v>
      </c>
      <c r="F377" t="s">
        <v>33</v>
      </c>
      <c r="G377" t="str">
        <f>"U16"</f>
        <v>U16</v>
      </c>
      <c r="H377" t="str">
        <f>"-57"</f>
        <v>-57</v>
      </c>
      <c r="I377" t="str">
        <f>"0208366"</f>
        <v>0208366</v>
      </c>
      <c r="J377" t="str">
        <f>"Yes"</f>
        <v>Yes</v>
      </c>
      <c r="K377" t="str">
        <f>"Quebec"</f>
        <v>Quebec</v>
      </c>
      <c r="M377" t="str">
        <f>""</f>
        <v/>
      </c>
      <c r="N377" t="s">
        <v>339</v>
      </c>
    </row>
    <row r="378" spans="1:14" x14ac:dyDescent="0.25">
      <c r="A378" t="s">
        <v>340</v>
      </c>
      <c r="B378" t="s">
        <v>341</v>
      </c>
      <c r="C378" t="s">
        <v>59</v>
      </c>
      <c r="D378" t="s">
        <v>44</v>
      </c>
      <c r="E378" t="s">
        <v>27</v>
      </c>
      <c r="F378" t="s">
        <v>15</v>
      </c>
      <c r="G378" t="s">
        <v>25</v>
      </c>
      <c r="H378">
        <v>-48</v>
      </c>
      <c r="I378" t="s">
        <v>342</v>
      </c>
      <c r="J378" t="s">
        <v>46</v>
      </c>
      <c r="K378" t="s">
        <v>47</v>
      </c>
      <c r="M378" t="s">
        <v>110</v>
      </c>
      <c r="N378" t="s">
        <v>343</v>
      </c>
    </row>
    <row r="379" spans="1:14" x14ac:dyDescent="0.25">
      <c r="A379" t="str">
        <f>"Lea"</f>
        <v>Lea</v>
      </c>
      <c r="B379" t="str">
        <f>"St-Arnaud"</f>
        <v>St-Arnaud</v>
      </c>
      <c r="C379" t="str">
        <f>"Seïkidokan"</f>
        <v>Seïkidokan</v>
      </c>
      <c r="D379" t="str">
        <f>"F"</f>
        <v>F</v>
      </c>
      <c r="E379" t="s">
        <v>27</v>
      </c>
      <c r="F379" t="s">
        <v>64</v>
      </c>
      <c r="G379" t="str">
        <f>"U18"</f>
        <v>U18</v>
      </c>
      <c r="H379" t="str">
        <f>"-52"</f>
        <v>-52</v>
      </c>
      <c r="I379" t="str">
        <f>"0220452"</f>
        <v>0220452</v>
      </c>
      <c r="J379" t="str">
        <f>"Yes"</f>
        <v>Yes</v>
      </c>
      <c r="K379" t="str">
        <f>"Quebec"</f>
        <v>Quebec</v>
      </c>
      <c r="M379" t="str">
        <f>""</f>
        <v/>
      </c>
      <c r="N379" t="s">
        <v>217</v>
      </c>
    </row>
    <row r="380" spans="1:14" x14ac:dyDescent="0.25">
      <c r="A380" t="str">
        <f>"Leftraru"</f>
        <v>Leftraru</v>
      </c>
      <c r="B380" t="str">
        <f>"Gonzalez-Tucas"</f>
        <v>Gonzalez-Tucas</v>
      </c>
      <c r="C380" t="str">
        <f>"Judo Monde"</f>
        <v>Judo Monde</v>
      </c>
      <c r="D380" t="str">
        <f>"M"</f>
        <v>M</v>
      </c>
      <c r="E380" t="s">
        <v>17</v>
      </c>
      <c r="F380" t="s">
        <v>18</v>
      </c>
      <c r="G380" t="s">
        <v>25</v>
      </c>
      <c r="H380" t="str">
        <f>"-66"</f>
        <v>-66</v>
      </c>
      <c r="I380" t="str">
        <f>"0168390"</f>
        <v>0168390</v>
      </c>
      <c r="J380" t="str">
        <f>"Yes"</f>
        <v>Yes</v>
      </c>
      <c r="K380" t="str">
        <f>"Quebec"</f>
        <v>Quebec</v>
      </c>
      <c r="M380" t="str">
        <f>"2 divisions : U18 + U21/Sénior B"</f>
        <v>2 divisions : U18 + U21/Sénior B</v>
      </c>
      <c r="N380" t="s">
        <v>295</v>
      </c>
    </row>
    <row r="381" spans="1:14" hidden="1" x14ac:dyDescent="0.25">
      <c r="A381" t="str">
        <f>"Abdessamad"</f>
        <v>Abdessamad</v>
      </c>
      <c r="B381" t="str">
        <f>"Borsla"</f>
        <v>Borsla</v>
      </c>
      <c r="C381" t="s">
        <v>81</v>
      </c>
      <c r="D381" t="str">
        <f>"M"</f>
        <v>M</v>
      </c>
      <c r="E381" t="s">
        <v>17</v>
      </c>
      <c r="F381" t="s">
        <v>18</v>
      </c>
      <c r="G381" t="s">
        <v>72</v>
      </c>
      <c r="H381" t="str">
        <f>"-66"</f>
        <v>-66</v>
      </c>
      <c r="I381" t="str">
        <f>"0175408"</f>
        <v>0175408</v>
      </c>
      <c r="J381" t="str">
        <f>"Yes"</f>
        <v>Yes</v>
      </c>
      <c r="K381" t="str">
        <f>"Quebec"</f>
        <v>Quebec</v>
      </c>
      <c r="M381" t="str">
        <f>"2 divisions : U18 + U21/Sénior B"</f>
        <v>2 divisions : U18 + U21/Sénior B</v>
      </c>
      <c r="N381" t="s">
        <v>248</v>
      </c>
    </row>
    <row r="382" spans="1:14" hidden="1" x14ac:dyDescent="0.25">
      <c r="A382" t="str">
        <f>"Sebastien"</f>
        <v>Sebastien</v>
      </c>
      <c r="B382" t="str">
        <f>"Proulx"</f>
        <v>Proulx</v>
      </c>
      <c r="C382" t="str">
        <f>"Shawinigan"</f>
        <v>Shawinigan</v>
      </c>
      <c r="D382" t="str">
        <f>"M"</f>
        <v>M</v>
      </c>
      <c r="E382" t="s">
        <v>302</v>
      </c>
      <c r="F382" t="s">
        <v>39</v>
      </c>
      <c r="G382" t="str">
        <f>"Master"</f>
        <v>Master</v>
      </c>
      <c r="H382" t="str">
        <f>"-81"</f>
        <v>-81</v>
      </c>
      <c r="I382" t="str">
        <f>"0223976"</f>
        <v>0223976</v>
      </c>
      <c r="J382" t="str">
        <f>"Yes"</f>
        <v>Yes</v>
      </c>
      <c r="K382" t="str">
        <f>"Quebec"</f>
        <v>Quebec</v>
      </c>
      <c r="N382" t="s">
        <v>330</v>
      </c>
    </row>
    <row r="383" spans="1:14" hidden="1" x14ac:dyDescent="0.25">
      <c r="A383" t="str">
        <f>"Justin"</f>
        <v>Justin</v>
      </c>
      <c r="B383" t="str">
        <f>"Nadon"</f>
        <v>Nadon</v>
      </c>
      <c r="C383" t="str">
        <f>"Judo Monde"</f>
        <v>Judo Monde</v>
      </c>
      <c r="D383" t="str">
        <f>"M"</f>
        <v>M</v>
      </c>
      <c r="E383" t="s">
        <v>38</v>
      </c>
      <c r="F383" t="s">
        <v>90</v>
      </c>
      <c r="G383" t="str">
        <f>"U14"</f>
        <v>U14</v>
      </c>
      <c r="H383" t="str">
        <f>"-42"</f>
        <v>-42</v>
      </c>
      <c r="I383" t="str">
        <f>"0203463"</f>
        <v>0203463</v>
      </c>
      <c r="J383" t="str">
        <f>"Yes"</f>
        <v>Yes</v>
      </c>
      <c r="K383" t="str">
        <f>"Quebec"</f>
        <v>Quebec</v>
      </c>
      <c r="N383" t="s">
        <v>334</v>
      </c>
    </row>
    <row r="384" spans="1:14" hidden="1" x14ac:dyDescent="0.25">
      <c r="A384" t="str">
        <f>"Daniel"</f>
        <v>Daniel</v>
      </c>
      <c r="B384" t="str">
        <f>"Hristov"</f>
        <v>Hristov</v>
      </c>
      <c r="C384" t="str">
        <f>"Perrot Shima"</f>
        <v>Perrot Shima</v>
      </c>
      <c r="D384" t="str">
        <f>"M"</f>
        <v>M</v>
      </c>
      <c r="E384" t="s">
        <v>24</v>
      </c>
      <c r="F384" t="s">
        <v>18</v>
      </c>
      <c r="G384" t="str">
        <f>"U16"</f>
        <v>U16</v>
      </c>
      <c r="H384" t="str">
        <f>"-55"</f>
        <v>-55</v>
      </c>
      <c r="I384" t="str">
        <f>"0184799"</f>
        <v>0184799</v>
      </c>
      <c r="J384" t="str">
        <f>"Yes"</f>
        <v>Yes</v>
      </c>
      <c r="K384" t="str">
        <f>"Quebec"</f>
        <v>Quebec</v>
      </c>
      <c r="N384" t="s">
        <v>318</v>
      </c>
    </row>
    <row r="385" spans="1:14" hidden="1" x14ac:dyDescent="0.25">
      <c r="A385" t="str">
        <f>"Laurent"</f>
        <v>Laurent</v>
      </c>
      <c r="B385" t="str">
        <f>"Lagace"</f>
        <v>Lagace</v>
      </c>
      <c r="C385" t="str">
        <f>"St-Paul l'Ermite"</f>
        <v>St-Paul l'Ermite</v>
      </c>
      <c r="D385" t="str">
        <f>"M"</f>
        <v>M</v>
      </c>
      <c r="E385" t="s">
        <v>21</v>
      </c>
      <c r="F385" t="s">
        <v>37</v>
      </c>
      <c r="G385" t="str">
        <f>"U12"</f>
        <v>U12</v>
      </c>
      <c r="H385" t="str">
        <f>"-39"</f>
        <v>-39</v>
      </c>
      <c r="I385" t="str">
        <f>"0207630"</f>
        <v>0207630</v>
      </c>
      <c r="J385" t="str">
        <f>"Yes"</f>
        <v>Yes</v>
      </c>
      <c r="K385" t="str">
        <f>"Quebec"</f>
        <v>Quebec</v>
      </c>
      <c r="N385" t="s">
        <v>23</v>
      </c>
    </row>
    <row r="386" spans="1:14" hidden="1" x14ac:dyDescent="0.25">
      <c r="A386" t="str">
        <f>"James"</f>
        <v>James</v>
      </c>
      <c r="B386" t="str">
        <f>"Tremblay"</f>
        <v>Tremblay</v>
      </c>
      <c r="C386" t="str">
        <f>"Seiko"</f>
        <v>Seiko</v>
      </c>
      <c r="D386" t="str">
        <f>"M"</f>
        <v>M</v>
      </c>
      <c r="E386" t="s">
        <v>14</v>
      </c>
      <c r="F386" t="s">
        <v>37</v>
      </c>
      <c r="G386" t="str">
        <f>"U14"</f>
        <v>U14</v>
      </c>
      <c r="H386" t="str">
        <f>"-42"</f>
        <v>-42</v>
      </c>
      <c r="I386" t="str">
        <f>"0225769"</f>
        <v>0225769</v>
      </c>
      <c r="J386" t="str">
        <f>"Yes"</f>
        <v>Yes</v>
      </c>
      <c r="K386" t="str">
        <f>"Quebec"</f>
        <v>Quebec</v>
      </c>
      <c r="N386" t="s">
        <v>334</v>
      </c>
    </row>
    <row r="387" spans="1:14" hidden="1" x14ac:dyDescent="0.25">
      <c r="A387" t="str">
        <f>"Frédéric"</f>
        <v>Frédéric</v>
      </c>
      <c r="B387" t="str">
        <f>"Bourque"</f>
        <v>Bourque</v>
      </c>
      <c r="C387" t="str">
        <f>"Boucherville"</f>
        <v>Boucherville</v>
      </c>
      <c r="D387" t="str">
        <f>"M"</f>
        <v>M</v>
      </c>
      <c r="E387" t="s">
        <v>261</v>
      </c>
      <c r="F387" t="s">
        <v>30</v>
      </c>
      <c r="G387" t="str">
        <f>"Master"</f>
        <v>Master</v>
      </c>
      <c r="H387" t="str">
        <f>"-81"</f>
        <v>-81</v>
      </c>
      <c r="I387" t="str">
        <f>"0086296"</f>
        <v>0086296</v>
      </c>
      <c r="J387" t="str">
        <f>"Yes"</f>
        <v>Yes</v>
      </c>
      <c r="K387" t="str">
        <f>"Quebec"</f>
        <v>Quebec</v>
      </c>
      <c r="M387" t="str">
        <f>""</f>
        <v/>
      </c>
      <c r="N387" t="s">
        <v>330</v>
      </c>
    </row>
    <row r="388" spans="1:14" x14ac:dyDescent="0.25">
      <c r="A388" t="str">
        <f>"Jason"</f>
        <v>Jason</v>
      </c>
      <c r="B388" t="str">
        <f>"Lambert"</f>
        <v>Lambert</v>
      </c>
      <c r="C388" t="str">
        <f>"Shawinigan"</f>
        <v>Shawinigan</v>
      </c>
      <c r="D388" t="str">
        <f>"M"</f>
        <v>M</v>
      </c>
      <c r="E388" t="s">
        <v>17</v>
      </c>
      <c r="F388" t="s">
        <v>18</v>
      </c>
      <c r="G388" t="str">
        <f>"U18"</f>
        <v>U18</v>
      </c>
      <c r="H388" t="str">
        <f>"-66"</f>
        <v>-66</v>
      </c>
      <c r="I388" t="str">
        <f>"0204243"</f>
        <v>0204243</v>
      </c>
      <c r="J388" t="str">
        <f>"Yes"</f>
        <v>Yes</v>
      </c>
      <c r="K388" t="str">
        <f>"Quebec"</f>
        <v>Quebec</v>
      </c>
      <c r="N388" t="s">
        <v>295</v>
      </c>
    </row>
    <row r="389" spans="1:14" hidden="1" x14ac:dyDescent="0.25">
      <c r="A389" t="str">
        <f>"Jade"</f>
        <v>Jade</v>
      </c>
      <c r="B389" t="str">
        <f>"Garceau"</f>
        <v>Garceau</v>
      </c>
      <c r="C389" t="str">
        <f>"Shawinigan"</f>
        <v>Shawinigan</v>
      </c>
      <c r="D389" t="str">
        <f>"F"</f>
        <v>F</v>
      </c>
      <c r="E389" t="s">
        <v>38</v>
      </c>
      <c r="F389" t="s">
        <v>90</v>
      </c>
      <c r="G389" t="str">
        <f>"U14"</f>
        <v>U14</v>
      </c>
      <c r="H389" t="str">
        <f>"-44"</f>
        <v>-44</v>
      </c>
      <c r="I389" t="str">
        <f>"0219779"</f>
        <v>0219779</v>
      </c>
      <c r="J389" t="str">
        <f>"Yes"</f>
        <v>Yes</v>
      </c>
      <c r="K389" t="str">
        <f>"Quebec"</f>
        <v>Quebec</v>
      </c>
      <c r="N389" t="s">
        <v>327</v>
      </c>
    </row>
    <row r="390" spans="1:14" hidden="1" x14ac:dyDescent="0.25">
      <c r="A390" t="str">
        <f>"Louis-Felix"</f>
        <v>Louis-Felix</v>
      </c>
      <c r="B390" t="str">
        <f>"Arseneault"</f>
        <v>Arseneault</v>
      </c>
      <c r="C390" t="str">
        <f>"Tani "</f>
        <v xml:space="preserve">Tani </v>
      </c>
      <c r="D390" t="str">
        <f>"M"</f>
        <v>M</v>
      </c>
      <c r="E390" t="s">
        <v>14</v>
      </c>
      <c r="F390" t="s">
        <v>64</v>
      </c>
      <c r="G390" t="str">
        <f>"U14"</f>
        <v>U14</v>
      </c>
      <c r="H390" t="str">
        <f>"-42"</f>
        <v>-42</v>
      </c>
      <c r="I390" t="str">
        <f>"0203311"</f>
        <v>0203311</v>
      </c>
      <c r="J390" t="str">
        <f>"Yes"</f>
        <v>Yes</v>
      </c>
      <c r="K390" t="str">
        <f>"Quebec"</f>
        <v>Quebec</v>
      </c>
      <c r="N390" t="s">
        <v>344</v>
      </c>
    </row>
    <row r="391" spans="1:14" hidden="1" x14ac:dyDescent="0.25">
      <c r="A391" t="str">
        <f>"Adam"</f>
        <v>Adam</v>
      </c>
      <c r="B391" t="str">
        <f>"Boisjoly"</f>
        <v>Boisjoly</v>
      </c>
      <c r="C391" t="str">
        <f>"Kime-Waza  Joliette"</f>
        <v>Kime-Waza  Joliette</v>
      </c>
      <c r="D391" t="str">
        <f>"M"</f>
        <v>M</v>
      </c>
      <c r="E391" t="s">
        <v>38</v>
      </c>
      <c r="F391" t="s">
        <v>64</v>
      </c>
      <c r="G391" t="str">
        <f>"U14"</f>
        <v>U14</v>
      </c>
      <c r="H391" t="str">
        <f>"-42"</f>
        <v>-42</v>
      </c>
      <c r="I391" t="str">
        <f>"0205683"</f>
        <v>0205683</v>
      </c>
      <c r="J391" t="str">
        <f>"Yes"</f>
        <v>Yes</v>
      </c>
      <c r="K391" t="str">
        <f>"Quebec"</f>
        <v>Quebec</v>
      </c>
      <c r="M391" t="str">
        <f>""</f>
        <v/>
      </c>
      <c r="N391" t="s">
        <v>344</v>
      </c>
    </row>
    <row r="392" spans="1:14" hidden="1" x14ac:dyDescent="0.25">
      <c r="A392" t="str">
        <f>"Renaud"</f>
        <v>Renaud</v>
      </c>
      <c r="B392" t="str">
        <f>"Chaunet"</f>
        <v>Chaunet</v>
      </c>
      <c r="C392" t="s">
        <v>313</v>
      </c>
      <c r="D392" t="str">
        <f>"M"</f>
        <v>M</v>
      </c>
      <c r="E392" t="s">
        <v>38</v>
      </c>
      <c r="F392" t="s">
        <v>39</v>
      </c>
      <c r="G392" t="str">
        <f>"U14"</f>
        <v>U14</v>
      </c>
      <c r="H392" t="str">
        <f>"-42"</f>
        <v>-42</v>
      </c>
      <c r="I392" t="str">
        <f>"0198056"</f>
        <v>0198056</v>
      </c>
      <c r="J392" t="str">
        <f>"Yes"</f>
        <v>Yes</v>
      </c>
      <c r="K392" t="str">
        <f>"Quebec"</f>
        <v>Quebec</v>
      </c>
      <c r="M392" t="str">
        <f>""</f>
        <v/>
      </c>
      <c r="N392" t="s">
        <v>344</v>
      </c>
    </row>
    <row r="393" spans="1:14" hidden="1" x14ac:dyDescent="0.25">
      <c r="A393" t="str">
        <f>"Marie-Joelle"</f>
        <v>Marie-Joelle</v>
      </c>
      <c r="B393" t="str">
        <f>"Fortin"</f>
        <v>Fortin</v>
      </c>
      <c r="C393" t="str">
        <f>"Baie-Comeau"</f>
        <v>Baie-Comeau</v>
      </c>
      <c r="D393" t="str">
        <f>"F"</f>
        <v>F</v>
      </c>
      <c r="E393" t="s">
        <v>38</v>
      </c>
      <c r="F393" t="s">
        <v>64</v>
      </c>
      <c r="G393" t="str">
        <f>"U14"</f>
        <v>U14</v>
      </c>
      <c r="H393" t="str">
        <f>"-52"</f>
        <v>-52</v>
      </c>
      <c r="I393" t="str">
        <f>"0207022"</f>
        <v>0207022</v>
      </c>
      <c r="J393" t="str">
        <f>"Yes"</f>
        <v>Yes</v>
      </c>
      <c r="K393" t="str">
        <f>"Quebec"</f>
        <v>Quebec</v>
      </c>
      <c r="N393" t="s">
        <v>293</v>
      </c>
    </row>
    <row r="394" spans="1:14" hidden="1" x14ac:dyDescent="0.25">
      <c r="A394" t="str">
        <f>"Maika"</f>
        <v>Maika</v>
      </c>
      <c r="B394" t="str">
        <f>"Langlois"</f>
        <v>Langlois</v>
      </c>
      <c r="C394" t="str">
        <f>"Métropolitain"</f>
        <v>Métropolitain</v>
      </c>
      <c r="D394" t="str">
        <f>"F"</f>
        <v>F</v>
      </c>
      <c r="E394" t="s">
        <v>60</v>
      </c>
      <c r="F394" t="s">
        <v>37</v>
      </c>
      <c r="G394" t="str">
        <f>"U12"</f>
        <v>U12</v>
      </c>
      <c r="H394" t="str">
        <f>"-33"</f>
        <v>-33</v>
      </c>
      <c r="I394" t="str">
        <f>"0233396"</f>
        <v>0233396</v>
      </c>
      <c r="J394" t="str">
        <f>"Yes"</f>
        <v>Yes</v>
      </c>
      <c r="K394" t="str">
        <f>"Quebec"</f>
        <v>Quebec</v>
      </c>
      <c r="N394" t="s">
        <v>91</v>
      </c>
    </row>
    <row r="395" spans="1:14" hidden="1" x14ac:dyDescent="0.25">
      <c r="A395" t="str">
        <f>"Zachary"</f>
        <v>Zachary</v>
      </c>
      <c r="B395" t="str">
        <f>"Langlois"</f>
        <v>Langlois</v>
      </c>
      <c r="C395" t="str">
        <f>"Judo Dojo Vallée"</f>
        <v>Judo Dojo Vallée</v>
      </c>
      <c r="D395" t="str">
        <f>"M"</f>
        <v>M</v>
      </c>
      <c r="E395" t="s">
        <v>21</v>
      </c>
      <c r="F395" t="s">
        <v>37</v>
      </c>
      <c r="G395" t="str">
        <f>"U12"</f>
        <v>U12</v>
      </c>
      <c r="H395" t="str">
        <f>"-36"</f>
        <v>-36</v>
      </c>
      <c r="I395" t="str">
        <f>"0413708"</f>
        <v>0413708</v>
      </c>
      <c r="J395" t="str">
        <f>"Yes"</f>
        <v>Yes</v>
      </c>
      <c r="K395" t="str">
        <f>"Quebec"</f>
        <v>Quebec</v>
      </c>
      <c r="M395" t="str">
        <f>""</f>
        <v/>
      </c>
      <c r="N395" t="s">
        <v>23</v>
      </c>
    </row>
    <row r="396" spans="1:14" hidden="1" x14ac:dyDescent="0.25">
      <c r="A396" t="str">
        <f>"Nathan"</f>
        <v>Nathan</v>
      </c>
      <c r="B396" t="str">
        <f>"Langlois"</f>
        <v>Langlois</v>
      </c>
      <c r="C396" t="str">
        <f>"Tani "</f>
        <v xml:space="preserve">Tani </v>
      </c>
      <c r="D396" t="str">
        <f>"M"</f>
        <v>M</v>
      </c>
      <c r="E396" t="s">
        <v>60</v>
      </c>
      <c r="F396" t="s">
        <v>37</v>
      </c>
      <c r="G396" t="str">
        <f>"U12"</f>
        <v>U12</v>
      </c>
      <c r="H396" t="str">
        <f>"-39"</f>
        <v>-39</v>
      </c>
      <c r="I396" t="str">
        <f>"0217394"</f>
        <v>0217394</v>
      </c>
      <c r="J396" t="str">
        <f>"Yes"</f>
        <v>Yes</v>
      </c>
      <c r="K396" t="str">
        <f>"Quebec"</f>
        <v>Quebec</v>
      </c>
      <c r="N396" t="s">
        <v>23</v>
      </c>
    </row>
    <row r="397" spans="1:14" hidden="1" x14ac:dyDescent="0.25">
      <c r="A397" t="str">
        <f>"Anthony"</f>
        <v>Anthony</v>
      </c>
      <c r="B397" t="str">
        <f>"Martel"</f>
        <v>Martel</v>
      </c>
      <c r="C397" t="str">
        <f>"To Haku kan"</f>
        <v>To Haku kan</v>
      </c>
      <c r="D397" t="str">
        <f>"M"</f>
        <v>M</v>
      </c>
      <c r="E397" t="s">
        <v>32</v>
      </c>
      <c r="F397" t="s">
        <v>39</v>
      </c>
      <c r="G397" t="str">
        <f>"U16"</f>
        <v>U16</v>
      </c>
      <c r="H397" t="str">
        <f>"-55"</f>
        <v>-55</v>
      </c>
      <c r="I397" t="str">
        <f>"0182992"</f>
        <v>0182992</v>
      </c>
      <c r="J397" t="str">
        <f>"Yes"</f>
        <v>Yes</v>
      </c>
      <c r="K397" t="str">
        <f>"Quebec"</f>
        <v>Quebec</v>
      </c>
      <c r="M397" t="str">
        <f>""</f>
        <v/>
      </c>
      <c r="N397" t="s">
        <v>318</v>
      </c>
    </row>
    <row r="398" spans="1:14" hidden="1" x14ac:dyDescent="0.25">
      <c r="A398" t="str">
        <f>"Sarah"</f>
        <v>Sarah</v>
      </c>
      <c r="B398" t="str">
        <f>"Maloum"</f>
        <v>Maloum</v>
      </c>
      <c r="C398" t="str">
        <f>"Métropolitain"</f>
        <v>Métropolitain</v>
      </c>
      <c r="D398" t="str">
        <f>"F"</f>
        <v>F</v>
      </c>
      <c r="E398" t="s">
        <v>71</v>
      </c>
      <c r="F398" t="s">
        <v>30</v>
      </c>
      <c r="G398" t="s">
        <v>85</v>
      </c>
      <c r="H398" t="str">
        <f>"-52"</f>
        <v>-52</v>
      </c>
      <c r="I398" t="str">
        <f>"0154954"</f>
        <v>0154954</v>
      </c>
      <c r="J398" t="str">
        <f>"Yes"</f>
        <v>Yes</v>
      </c>
      <c r="K398" t="str">
        <f>"Quebec"</f>
        <v>Quebec</v>
      </c>
      <c r="M398" t="str">
        <f>"2 divisions : U21/Senior B + Senior A"</f>
        <v>2 divisions : U21/Senior B + Senior A</v>
      </c>
      <c r="N398" t="s">
        <v>234</v>
      </c>
    </row>
    <row r="399" spans="1:14" hidden="1" x14ac:dyDescent="0.25">
      <c r="A399" t="str">
        <f>"Ariane"</f>
        <v>Ariane</v>
      </c>
      <c r="B399" t="str">
        <f>"Bonin"</f>
        <v>Bonin</v>
      </c>
      <c r="C399" t="str">
        <f>"Boucherville"</f>
        <v>Boucherville</v>
      </c>
      <c r="D399" t="str">
        <f>"F"</f>
        <v>F</v>
      </c>
      <c r="E399" t="s">
        <v>32</v>
      </c>
      <c r="F399" t="s">
        <v>39</v>
      </c>
      <c r="G399" t="str">
        <f>"U16"</f>
        <v>U16</v>
      </c>
      <c r="H399" t="str">
        <f>"-57"</f>
        <v>-57</v>
      </c>
      <c r="I399" t="str">
        <f>"0170987"</f>
        <v>0170987</v>
      </c>
      <c r="J399" t="str">
        <f>"Yes"</f>
        <v>Yes</v>
      </c>
      <c r="K399" t="str">
        <f>"Quebec"</f>
        <v>Quebec</v>
      </c>
      <c r="N399" t="s">
        <v>339</v>
      </c>
    </row>
    <row r="400" spans="1:14" x14ac:dyDescent="0.25">
      <c r="A400" t="str">
        <f>"Keren-Ha Pierrette"</f>
        <v>Keren-Ha Pierrette</v>
      </c>
      <c r="B400" t="str">
        <f>"Akomo Mvolo"</f>
        <v>Akomo Mvolo</v>
      </c>
      <c r="C400" t="str">
        <f>"St-Jean Bosco"</f>
        <v>St-Jean Bosco</v>
      </c>
      <c r="D400" t="str">
        <f>"F"</f>
        <v>F</v>
      </c>
      <c r="E400" t="s">
        <v>27</v>
      </c>
      <c r="F400" t="s">
        <v>18</v>
      </c>
      <c r="G400" t="str">
        <f>"U18"</f>
        <v>U18</v>
      </c>
      <c r="H400" t="str">
        <f>"-57"</f>
        <v>-57</v>
      </c>
      <c r="I400" t="str">
        <f>"0207523"</f>
        <v>0207523</v>
      </c>
      <c r="J400" t="str">
        <f>"Yes"</f>
        <v>Yes</v>
      </c>
      <c r="K400" t="str">
        <f>"Quebec"</f>
        <v>Quebec</v>
      </c>
      <c r="M400" t="str">
        <f>""</f>
        <v/>
      </c>
      <c r="N400" t="s">
        <v>345</v>
      </c>
    </row>
    <row r="401" spans="1:14" x14ac:dyDescent="0.25">
      <c r="A401" t="s">
        <v>346</v>
      </c>
      <c r="B401" t="s">
        <v>347</v>
      </c>
      <c r="C401" t="s">
        <v>99</v>
      </c>
      <c r="D401" t="s">
        <v>52</v>
      </c>
      <c r="E401" t="s">
        <v>24</v>
      </c>
      <c r="F401" t="s">
        <v>18</v>
      </c>
      <c r="G401" t="s">
        <v>25</v>
      </c>
      <c r="H401">
        <v>-66</v>
      </c>
      <c r="I401" t="s">
        <v>348</v>
      </c>
      <c r="J401" t="s">
        <v>46</v>
      </c>
      <c r="K401" t="s">
        <v>47</v>
      </c>
      <c r="M401" t="s">
        <v>48</v>
      </c>
      <c r="N401" t="s">
        <v>295</v>
      </c>
    </row>
    <row r="402" spans="1:14" hidden="1" x14ac:dyDescent="0.25">
      <c r="A402" t="str">
        <f>"Isaac"</f>
        <v>Isaac</v>
      </c>
      <c r="B402" t="str">
        <f>"Cheff"</f>
        <v>Cheff</v>
      </c>
      <c r="C402" t="str">
        <f>"Tani "</f>
        <v xml:space="preserve">Tani </v>
      </c>
      <c r="D402" t="str">
        <f>"M"</f>
        <v>M</v>
      </c>
      <c r="E402" t="s">
        <v>29</v>
      </c>
      <c r="F402" t="s">
        <v>39</v>
      </c>
      <c r="G402" t="str">
        <f>"U21/Senior B"</f>
        <v>U21/Senior B</v>
      </c>
      <c r="H402" t="str">
        <f>"-73"</f>
        <v>-73</v>
      </c>
      <c r="I402" t="str">
        <f>"0224932"</f>
        <v>0224932</v>
      </c>
      <c r="J402" t="str">
        <f>"Yes"</f>
        <v>Yes</v>
      </c>
      <c r="K402" t="str">
        <f>"Quebec"</f>
        <v>Quebec</v>
      </c>
      <c r="N402" t="s">
        <v>349</v>
      </c>
    </row>
    <row r="403" spans="1:14" hidden="1" x14ac:dyDescent="0.25">
      <c r="A403" t="str">
        <f>"Benjamin"</f>
        <v>Benjamin</v>
      </c>
      <c r="B403" t="str">
        <f>"Laporte"</f>
        <v>Laporte</v>
      </c>
      <c r="C403" t="str">
        <f>"Kime-Waza  Joliette"</f>
        <v>Kime-Waza  Joliette</v>
      </c>
      <c r="D403" t="str">
        <f>"M"</f>
        <v>M</v>
      </c>
      <c r="E403" t="s">
        <v>21</v>
      </c>
      <c r="F403" t="s">
        <v>37</v>
      </c>
      <c r="G403" t="str">
        <f>"U12"</f>
        <v>U12</v>
      </c>
      <c r="H403" t="str">
        <f>"-60"</f>
        <v>-60</v>
      </c>
      <c r="I403" t="str">
        <f>"0197253"</f>
        <v>0197253</v>
      </c>
      <c r="J403" t="str">
        <f>"Yes"</f>
        <v>Yes</v>
      </c>
      <c r="K403" t="str">
        <f>"Quebec"</f>
        <v>Quebec</v>
      </c>
      <c r="M403" t="str">
        <f>""</f>
        <v/>
      </c>
      <c r="N403" t="s">
        <v>23</v>
      </c>
    </row>
    <row r="404" spans="1:14" hidden="1" x14ac:dyDescent="0.25">
      <c r="A404" t="str">
        <f>"Edouard"</f>
        <v>Edouard</v>
      </c>
      <c r="B404" t="str">
        <f>"Cotte"</f>
        <v>Cotte</v>
      </c>
      <c r="C404" t="str">
        <f>"Sept-Iles"</f>
        <v>Sept-Iles</v>
      </c>
      <c r="D404" t="str">
        <f>"M"</f>
        <v>M</v>
      </c>
      <c r="E404" t="s">
        <v>38</v>
      </c>
      <c r="F404" t="s">
        <v>39</v>
      </c>
      <c r="G404" t="str">
        <f>"U14"</f>
        <v>U14</v>
      </c>
      <c r="H404" t="str">
        <f>"-42"</f>
        <v>-42</v>
      </c>
      <c r="I404" t="str">
        <f>"0182516"</f>
        <v>0182516</v>
      </c>
      <c r="J404" t="str">
        <f>"Yes"</f>
        <v>Yes</v>
      </c>
      <c r="K404" t="str">
        <f>"Quebec"</f>
        <v>Quebec</v>
      </c>
      <c r="N404" t="s">
        <v>344</v>
      </c>
    </row>
    <row r="405" spans="1:14" hidden="1" x14ac:dyDescent="0.25">
      <c r="A405" t="str">
        <f>"Laurent"</f>
        <v>Laurent</v>
      </c>
      <c r="B405" t="str">
        <f>"Plamondon"</f>
        <v>Plamondon</v>
      </c>
      <c r="C405" t="str">
        <f>"Blainville"</f>
        <v>Blainville</v>
      </c>
      <c r="D405" t="str">
        <f>"M"</f>
        <v>M</v>
      </c>
      <c r="E405" t="s">
        <v>24</v>
      </c>
      <c r="F405" t="s">
        <v>39</v>
      </c>
      <c r="G405" t="str">
        <f>"U16"</f>
        <v>U16</v>
      </c>
      <c r="H405" t="str">
        <f>"-55"</f>
        <v>-55</v>
      </c>
      <c r="I405" t="str">
        <f>"0162568"</f>
        <v>0162568</v>
      </c>
      <c r="J405" t="str">
        <f>"Yes"</f>
        <v>Yes</v>
      </c>
      <c r="K405" t="str">
        <f>"Quebec"</f>
        <v>Quebec</v>
      </c>
      <c r="N405" t="s">
        <v>318</v>
      </c>
    </row>
    <row r="406" spans="1:14" hidden="1" x14ac:dyDescent="0.25">
      <c r="A406" t="str">
        <f>"Sarah"</f>
        <v>Sarah</v>
      </c>
      <c r="B406" t="str">
        <f>"Maloum"</f>
        <v>Maloum</v>
      </c>
      <c r="C406" t="str">
        <f>"Métropolitain"</f>
        <v>Métropolitain</v>
      </c>
      <c r="D406" t="str">
        <f>"F"</f>
        <v>F</v>
      </c>
      <c r="E406" t="s">
        <v>71</v>
      </c>
      <c r="F406" t="s">
        <v>30</v>
      </c>
      <c r="G406" t="s">
        <v>72</v>
      </c>
      <c r="H406" t="str">
        <f>"-52"</f>
        <v>-52</v>
      </c>
      <c r="I406" t="str">
        <f>"0154954"</f>
        <v>0154954</v>
      </c>
      <c r="J406" t="str">
        <f>"Yes"</f>
        <v>Yes</v>
      </c>
      <c r="K406" t="str">
        <f>"Quebec"</f>
        <v>Quebec</v>
      </c>
      <c r="M406" t="str">
        <f>"2 divisions : U21/Senior B + Senior A"</f>
        <v>2 divisions : U21/Senior B + Senior A</v>
      </c>
      <c r="N406" t="s">
        <v>238</v>
      </c>
    </row>
    <row r="407" spans="1:14" hidden="1" x14ac:dyDescent="0.25">
      <c r="A407" t="str">
        <f>"Marguerite"</f>
        <v>Marguerite</v>
      </c>
      <c r="B407" t="str">
        <f>"Champagne"</f>
        <v>Champagne</v>
      </c>
      <c r="C407" t="str">
        <f>"Saint-Hyacinthe"</f>
        <v>Saint-Hyacinthe</v>
      </c>
      <c r="D407" t="str">
        <f>"F"</f>
        <v>F</v>
      </c>
      <c r="E407" t="s">
        <v>32</v>
      </c>
      <c r="F407" t="s">
        <v>39</v>
      </c>
      <c r="G407" t="str">
        <f>"U16"</f>
        <v>U16</v>
      </c>
      <c r="H407" t="str">
        <f>"-57"</f>
        <v>-57</v>
      </c>
      <c r="I407" t="str">
        <f>"0208371"</f>
        <v>0208371</v>
      </c>
      <c r="J407" t="str">
        <f>"Yes"</f>
        <v>Yes</v>
      </c>
      <c r="K407" t="str">
        <f>"Quebec"</f>
        <v>Quebec</v>
      </c>
      <c r="N407" t="s">
        <v>339</v>
      </c>
    </row>
    <row r="408" spans="1:14" hidden="1" x14ac:dyDescent="0.25">
      <c r="A408" t="str">
        <f>"Emma"</f>
        <v>Emma</v>
      </c>
      <c r="B408" t="str">
        <f>"Gautié"</f>
        <v>Gautié</v>
      </c>
      <c r="C408" t="str">
        <f>"Seiko"</f>
        <v>Seiko</v>
      </c>
      <c r="D408" t="str">
        <f>"F"</f>
        <v>F</v>
      </c>
      <c r="E408" t="s">
        <v>14</v>
      </c>
      <c r="F408" t="s">
        <v>37</v>
      </c>
      <c r="G408" t="str">
        <f>"U14"</f>
        <v>U14</v>
      </c>
      <c r="H408" t="str">
        <f>"-44"</f>
        <v>-44</v>
      </c>
      <c r="I408" t="str">
        <f>"0225786"</f>
        <v>0225786</v>
      </c>
      <c r="J408" t="str">
        <f>"Yes"</f>
        <v>Yes</v>
      </c>
      <c r="K408" t="str">
        <f>"Quebec"</f>
        <v>Quebec</v>
      </c>
      <c r="N408" t="s">
        <v>327</v>
      </c>
    </row>
    <row r="409" spans="1:14" hidden="1" x14ac:dyDescent="0.25">
      <c r="A409" t="str">
        <f>"Simon"</f>
        <v>Simon</v>
      </c>
      <c r="B409" t="str">
        <f>"Larocque"</f>
        <v>Larocque</v>
      </c>
      <c r="C409" t="str">
        <f>"Judokas Jonquière"</f>
        <v>Judokas Jonquière</v>
      </c>
      <c r="D409" t="str">
        <f>"M"</f>
        <v>M</v>
      </c>
      <c r="E409" t="s">
        <v>21</v>
      </c>
      <c r="F409" t="s">
        <v>22</v>
      </c>
      <c r="G409" t="str">
        <f>"U12"</f>
        <v>U12</v>
      </c>
      <c r="H409" t="str">
        <f>"-27"</f>
        <v>-27</v>
      </c>
      <c r="I409" t="str">
        <f>"0227494"</f>
        <v>0227494</v>
      </c>
      <c r="J409" t="str">
        <f>"Yes"</f>
        <v>Yes</v>
      </c>
      <c r="K409" t="str">
        <f>"Quebec"</f>
        <v>Quebec</v>
      </c>
      <c r="N409" t="s">
        <v>23</v>
      </c>
    </row>
    <row r="410" spans="1:14" hidden="1" x14ac:dyDescent="0.25">
      <c r="A410" t="str">
        <f>"Megan"</f>
        <v>Megan</v>
      </c>
      <c r="B410" t="str">
        <f>"Levesque"</f>
        <v>Levesque</v>
      </c>
      <c r="C410" t="str">
        <f>"La Pocatiere"</f>
        <v>La Pocatiere</v>
      </c>
      <c r="D410" t="str">
        <f>"F"</f>
        <v>F</v>
      </c>
      <c r="E410" t="s">
        <v>32</v>
      </c>
      <c r="F410" t="s">
        <v>90</v>
      </c>
      <c r="G410" t="str">
        <f>"U16"</f>
        <v>U16</v>
      </c>
      <c r="H410" t="str">
        <f>"-70"</f>
        <v>-70</v>
      </c>
      <c r="I410" t="str">
        <f>"0207159"</f>
        <v>0207159</v>
      </c>
      <c r="J410" t="str">
        <f>"Yes"</f>
        <v>Yes</v>
      </c>
      <c r="K410" t="str">
        <f>"Quebec"</f>
        <v>Quebec</v>
      </c>
      <c r="M410" t="s">
        <v>110</v>
      </c>
      <c r="N410" t="s">
        <v>350</v>
      </c>
    </row>
    <row r="411" spans="1:14" hidden="1" x14ac:dyDescent="0.25">
      <c r="A411" t="str">
        <f>"Marjorie"</f>
        <v>Marjorie</v>
      </c>
      <c r="B411" t="str">
        <f>"Martineau"</f>
        <v>Martineau</v>
      </c>
      <c r="C411" t="str">
        <f>"Institut Judo Chicoutimi"</f>
        <v>Institut Judo Chicoutimi</v>
      </c>
      <c r="D411" t="str">
        <f>"F"</f>
        <v>F</v>
      </c>
      <c r="E411" t="s">
        <v>38</v>
      </c>
      <c r="F411" t="s">
        <v>39</v>
      </c>
      <c r="G411" t="str">
        <f>"U14"</f>
        <v>U14</v>
      </c>
      <c r="H411" t="str">
        <f>"-52"</f>
        <v>-52</v>
      </c>
      <c r="I411" t="str">
        <f>"0172703"</f>
        <v>0172703</v>
      </c>
      <c r="J411" t="str">
        <f>"Yes"</f>
        <v>Yes</v>
      </c>
      <c r="K411" t="str">
        <f>"Quebec"</f>
        <v>Quebec</v>
      </c>
      <c r="M411" t="str">
        <f>""</f>
        <v/>
      </c>
      <c r="N411" t="s">
        <v>293</v>
      </c>
    </row>
    <row r="412" spans="1:14" hidden="1" x14ac:dyDescent="0.25">
      <c r="A412" t="str">
        <f>"Adele"</f>
        <v>Adele</v>
      </c>
      <c r="B412" t="str">
        <f>"Charneau"</f>
        <v>Charneau</v>
      </c>
      <c r="C412" t="str">
        <f>"St-Paul l'Ermite"</f>
        <v>St-Paul l'Ermite</v>
      </c>
      <c r="D412" t="str">
        <f>"F"</f>
        <v>F</v>
      </c>
      <c r="E412" s="3" t="s">
        <v>32</v>
      </c>
      <c r="F412" t="s">
        <v>39</v>
      </c>
      <c r="G412" t="str">
        <f>"U16"</f>
        <v>U16</v>
      </c>
      <c r="H412" t="str">
        <f>"-57"</f>
        <v>-57</v>
      </c>
      <c r="I412" t="str">
        <f>"0189040"</f>
        <v>0189040</v>
      </c>
      <c r="J412" t="str">
        <f>"Yes"</f>
        <v>Yes</v>
      </c>
      <c r="K412" t="str">
        <f>"Quebec"</f>
        <v>Quebec</v>
      </c>
      <c r="M412" t="s">
        <v>351</v>
      </c>
      <c r="N412" t="s">
        <v>339</v>
      </c>
    </row>
    <row r="413" spans="1:14" hidden="1" x14ac:dyDescent="0.25">
      <c r="A413" t="str">
        <f>"Abby"</f>
        <v>Abby</v>
      </c>
      <c r="B413" t="str">
        <f>"Lavoie"</f>
        <v>Lavoie</v>
      </c>
      <c r="C413" t="str">
        <f>"Shawinigan"</f>
        <v>Shawinigan</v>
      </c>
      <c r="D413" t="str">
        <f>"F"</f>
        <v>F</v>
      </c>
      <c r="E413" t="s">
        <v>60</v>
      </c>
      <c r="F413" t="s">
        <v>37</v>
      </c>
      <c r="G413" t="str">
        <f>"U12"</f>
        <v>U12</v>
      </c>
      <c r="H413" t="str">
        <f>"-42"</f>
        <v>-42</v>
      </c>
      <c r="I413" t="str">
        <f>"0206417"</f>
        <v>0206417</v>
      </c>
      <c r="J413" t="str">
        <f>"Yes"</f>
        <v>Yes</v>
      </c>
      <c r="K413" t="str">
        <f>"Quebec"</f>
        <v>Quebec</v>
      </c>
      <c r="N413" t="s">
        <v>91</v>
      </c>
    </row>
    <row r="414" spans="1:14" hidden="1" x14ac:dyDescent="0.25">
      <c r="A414" t="str">
        <f>"Raphaël"</f>
        <v>Raphaël</v>
      </c>
      <c r="B414" t="str">
        <f>"Cyr"</f>
        <v>Cyr</v>
      </c>
      <c r="C414" t="str">
        <f>"Sept-Iles"</f>
        <v>Sept-Iles</v>
      </c>
      <c r="D414" t="str">
        <f>"M"</f>
        <v>M</v>
      </c>
      <c r="E414" t="s">
        <v>14</v>
      </c>
      <c r="F414" t="s">
        <v>39</v>
      </c>
      <c r="G414" t="str">
        <f>"U14"</f>
        <v>U14</v>
      </c>
      <c r="H414" t="str">
        <f>"-42"</f>
        <v>-42</v>
      </c>
      <c r="I414" t="str">
        <f>"0174344"</f>
        <v>0174344</v>
      </c>
      <c r="J414" t="str">
        <f>"Yes"</f>
        <v>Yes</v>
      </c>
      <c r="K414" t="str">
        <f>"Quebec"</f>
        <v>Quebec</v>
      </c>
      <c r="N414" t="s">
        <v>344</v>
      </c>
    </row>
    <row r="415" spans="1:14" hidden="1" x14ac:dyDescent="0.25">
      <c r="A415" t="str">
        <f>"Jessy"</f>
        <v>Jessy</v>
      </c>
      <c r="B415" t="str">
        <f>"Lebel"</f>
        <v>Lebel</v>
      </c>
      <c r="C415" t="str">
        <f>"Rikidokan"</f>
        <v>Rikidokan</v>
      </c>
      <c r="D415" t="str">
        <f>"F"</f>
        <v>F</v>
      </c>
      <c r="E415" t="s">
        <v>29</v>
      </c>
      <c r="F415" t="s">
        <v>64</v>
      </c>
      <c r="G415" t="str">
        <f>"U21/Senior Mudansha"</f>
        <v>U21/Senior Mudansha</v>
      </c>
      <c r="H415" t="str">
        <f>"-63"</f>
        <v>-63</v>
      </c>
      <c r="I415" t="str">
        <f>"0407414"</f>
        <v>0407414</v>
      </c>
      <c r="J415" t="str">
        <f>"Yes"</f>
        <v>Yes</v>
      </c>
      <c r="K415" t="str">
        <f>"Quebec"</f>
        <v>Quebec</v>
      </c>
      <c r="N415" t="s">
        <v>352</v>
      </c>
    </row>
    <row r="416" spans="1:14" hidden="1" x14ac:dyDescent="0.25">
      <c r="A416" t="str">
        <f>"Olivier"</f>
        <v>Olivier</v>
      </c>
      <c r="B416" t="str">
        <f>"Lebel"</f>
        <v>Lebel</v>
      </c>
      <c r="C416" t="str">
        <f>"Baie-Comeau"</f>
        <v>Baie-Comeau</v>
      </c>
      <c r="D416" t="str">
        <f>"M"</f>
        <v>M</v>
      </c>
      <c r="E416" t="s">
        <v>21</v>
      </c>
      <c r="F416" t="s">
        <v>90</v>
      </c>
      <c r="G416" t="str">
        <f>"U12"</f>
        <v>U12</v>
      </c>
      <c r="H416" t="str">
        <f>"-39"</f>
        <v>-39</v>
      </c>
      <c r="I416" t="str">
        <f>"0217051"</f>
        <v>0217051</v>
      </c>
      <c r="J416" t="str">
        <f>"Yes"</f>
        <v>Yes</v>
      </c>
      <c r="K416" t="str">
        <f>"Quebec"</f>
        <v>Quebec</v>
      </c>
      <c r="N416" t="s">
        <v>23</v>
      </c>
    </row>
    <row r="417" spans="1:14" hidden="1" x14ac:dyDescent="0.25">
      <c r="A417" t="s">
        <v>353</v>
      </c>
      <c r="B417" t="s">
        <v>354</v>
      </c>
      <c r="C417" t="s">
        <v>59</v>
      </c>
      <c r="D417" t="s">
        <v>52</v>
      </c>
      <c r="E417" t="s">
        <v>60</v>
      </c>
      <c r="F417" t="s">
        <v>15</v>
      </c>
      <c r="G417" t="s">
        <v>61</v>
      </c>
      <c r="H417">
        <v>-30</v>
      </c>
      <c r="I417" t="s">
        <v>355</v>
      </c>
      <c r="J417" t="s">
        <v>46</v>
      </c>
      <c r="K417" t="s">
        <v>47</v>
      </c>
      <c r="N417" t="s">
        <v>23</v>
      </c>
    </row>
    <row r="418" spans="1:14" x14ac:dyDescent="0.25">
      <c r="A418" t="str">
        <f>"Elias"</f>
        <v>Elias</v>
      </c>
      <c r="B418" t="str">
        <f>"Louahla"</f>
        <v>Louahla</v>
      </c>
      <c r="C418" t="str">
        <f>"Métropolitain"</f>
        <v>Métropolitain</v>
      </c>
      <c r="D418" t="str">
        <f>"M"</f>
        <v>M</v>
      </c>
      <c r="E418" t="s">
        <v>27</v>
      </c>
      <c r="F418" t="s">
        <v>18</v>
      </c>
      <c r="G418" t="str">
        <f>"U18"</f>
        <v>U18</v>
      </c>
      <c r="H418" t="str">
        <f>"-90"</f>
        <v>-90</v>
      </c>
      <c r="I418" t="str">
        <f>"0221733"</f>
        <v>0221733</v>
      </c>
      <c r="J418" t="str">
        <f>"Yes"</f>
        <v>Yes</v>
      </c>
      <c r="K418" t="str">
        <f>"Quebec"</f>
        <v>Quebec</v>
      </c>
      <c r="M418" t="s">
        <v>19</v>
      </c>
      <c r="N418" t="s">
        <v>356</v>
      </c>
    </row>
    <row r="419" spans="1:14" hidden="1" x14ac:dyDescent="0.25">
      <c r="A419" t="str">
        <f>"Anais"</f>
        <v>Anais</v>
      </c>
      <c r="B419" t="str">
        <f>"Lefebvre"</f>
        <v>Lefebvre</v>
      </c>
      <c r="C419" t="str">
        <f>"Asbestos-Danville"</f>
        <v>Asbestos-Danville</v>
      </c>
      <c r="D419" t="str">
        <f>"F"</f>
        <v>F</v>
      </c>
      <c r="E419" t="s">
        <v>60</v>
      </c>
      <c r="F419" t="s">
        <v>90</v>
      </c>
      <c r="G419" t="str">
        <f>"U12"</f>
        <v>U12</v>
      </c>
      <c r="H419" t="str">
        <f>"-33"</f>
        <v>-33</v>
      </c>
      <c r="I419" t="str">
        <f>"0214421"</f>
        <v>0214421</v>
      </c>
      <c r="J419" t="str">
        <f>"Yes"</f>
        <v>Yes</v>
      </c>
      <c r="K419" t="str">
        <f>"Quebec"</f>
        <v>Quebec</v>
      </c>
      <c r="N419" t="s">
        <v>91</v>
      </c>
    </row>
    <row r="420" spans="1:14" hidden="1" x14ac:dyDescent="0.25">
      <c r="A420" t="str">
        <f>"Leonarda"</f>
        <v>Leonarda</v>
      </c>
      <c r="B420" t="str">
        <f>"Horak"</f>
        <v>Horak</v>
      </c>
      <c r="C420" t="str">
        <f>"Shidokan"</f>
        <v>Shidokan</v>
      </c>
      <c r="D420" t="str">
        <f>"F"</f>
        <v>F</v>
      </c>
      <c r="E420" t="s">
        <v>24</v>
      </c>
      <c r="F420" t="s">
        <v>18</v>
      </c>
      <c r="G420" t="str">
        <f>"U16"</f>
        <v>U16</v>
      </c>
      <c r="H420" t="str">
        <f>"-57"</f>
        <v>-57</v>
      </c>
      <c r="I420" t="str">
        <f>"0196147"</f>
        <v>0196147</v>
      </c>
      <c r="J420" t="str">
        <f>"Yes"</f>
        <v>Yes</v>
      </c>
      <c r="K420" t="str">
        <f>"Quebec"</f>
        <v>Quebec</v>
      </c>
      <c r="N420" t="s">
        <v>339</v>
      </c>
    </row>
    <row r="421" spans="1:14" hidden="1" x14ac:dyDescent="0.25">
      <c r="A421" t="str">
        <f>"Laurent"</f>
        <v>Laurent</v>
      </c>
      <c r="B421" t="str">
        <f>"Quiedeville"</f>
        <v>Quiedeville</v>
      </c>
      <c r="C421" t="str">
        <f>"Vieille Capitale"</f>
        <v>Vieille Capitale</v>
      </c>
      <c r="D421" t="str">
        <f>"M"</f>
        <v>M</v>
      </c>
      <c r="E421" t="s">
        <v>32</v>
      </c>
      <c r="F421" t="s">
        <v>18</v>
      </c>
      <c r="G421" t="str">
        <f>"U16"</f>
        <v>U16</v>
      </c>
      <c r="H421" t="str">
        <f>"-55"</f>
        <v>-55</v>
      </c>
      <c r="I421" t="str">
        <f>"0223465"</f>
        <v>0223465</v>
      </c>
      <c r="J421" t="str">
        <f>"Yes"</f>
        <v>Yes</v>
      </c>
      <c r="K421" t="str">
        <f>"Quebec"</f>
        <v>Quebec</v>
      </c>
      <c r="M421" t="str">
        <f>""</f>
        <v/>
      </c>
      <c r="N421" t="s">
        <v>318</v>
      </c>
    </row>
    <row r="422" spans="1:14" hidden="1" x14ac:dyDescent="0.25">
      <c r="A422" t="str">
        <f>"Alexis"</f>
        <v>Alexis</v>
      </c>
      <c r="B422" t="str">
        <f>"Roy"</f>
        <v>Roy</v>
      </c>
      <c r="C422" t="str">
        <f>"Judo Beauce"</f>
        <v>Judo Beauce</v>
      </c>
      <c r="D422" t="str">
        <f>"M"</f>
        <v>M</v>
      </c>
      <c r="E422" t="s">
        <v>32</v>
      </c>
      <c r="F422" t="s">
        <v>39</v>
      </c>
      <c r="G422" t="str">
        <f>"U16"</f>
        <v>U16</v>
      </c>
      <c r="H422" t="str">
        <f>"-55"</f>
        <v>-55</v>
      </c>
      <c r="I422" t="str">
        <f>"0231795"</f>
        <v>0231795</v>
      </c>
      <c r="J422" t="str">
        <f>"Yes"</f>
        <v>Yes</v>
      </c>
      <c r="K422" t="str">
        <f>"Quebec"</f>
        <v>Quebec</v>
      </c>
      <c r="N422" t="s">
        <v>318</v>
      </c>
    </row>
    <row r="423" spans="1:14" hidden="1" x14ac:dyDescent="0.25">
      <c r="A423" t="str">
        <f>"Genedi"</f>
        <v>Genedi</v>
      </c>
      <c r="B423" t="str">
        <f>"Safaneyev"</f>
        <v>Safaneyev</v>
      </c>
      <c r="C423" t="str">
        <f>"Shidokan"</f>
        <v>Shidokan</v>
      </c>
      <c r="D423" t="str">
        <f>"M"</f>
        <v>M</v>
      </c>
      <c r="E423" t="s">
        <v>24</v>
      </c>
      <c r="F423" t="s">
        <v>107</v>
      </c>
      <c r="G423" t="str">
        <f>"U16"</f>
        <v>U16</v>
      </c>
      <c r="H423" t="str">
        <f>"-55"</f>
        <v>-55</v>
      </c>
      <c r="I423" t="str">
        <f>"0169970"</f>
        <v>0169970</v>
      </c>
      <c r="J423" t="str">
        <f>"Yes"</f>
        <v>Yes</v>
      </c>
      <c r="K423" t="str">
        <f>"Quebec"</f>
        <v>Quebec</v>
      </c>
      <c r="M423" t="str">
        <f>""</f>
        <v/>
      </c>
      <c r="N423" t="s">
        <v>318</v>
      </c>
    </row>
    <row r="424" spans="1:14" x14ac:dyDescent="0.25">
      <c r="A424" t="str">
        <f>"Benoit"</f>
        <v>Benoit</v>
      </c>
      <c r="B424" t="str">
        <f>"Pelletier"</f>
        <v>Pelletier</v>
      </c>
      <c r="C424" t="str">
        <f>"Judo-Tech"</f>
        <v>Judo-Tech</v>
      </c>
      <c r="D424" t="str">
        <f>"M"</f>
        <v>M</v>
      </c>
      <c r="E424" t="s">
        <v>27</v>
      </c>
      <c r="F424" t="s">
        <v>18</v>
      </c>
      <c r="G424" t="str">
        <f>"U18"</f>
        <v>U18</v>
      </c>
      <c r="H424" t="str">
        <f>"-66"</f>
        <v>-66</v>
      </c>
      <c r="I424" t="str">
        <f>"0176823"</f>
        <v>0176823</v>
      </c>
      <c r="J424" t="str">
        <f>"Yes"</f>
        <v>Yes</v>
      </c>
      <c r="K424" t="str">
        <f>"Quebec"</f>
        <v>Quebec</v>
      </c>
      <c r="N424" t="s">
        <v>295</v>
      </c>
    </row>
    <row r="425" spans="1:14" hidden="1" x14ac:dyDescent="0.25">
      <c r="A425" t="str">
        <f>"Remy Daniel G."</f>
        <v>Remy Daniel G.</v>
      </c>
      <c r="B425" t="str">
        <f>"Minso"</f>
        <v>Minso</v>
      </c>
      <c r="C425" t="str">
        <f>"Univestrie/donini"</f>
        <v>Univestrie/donini</v>
      </c>
      <c r="D425" t="str">
        <f>"M"</f>
        <v>M</v>
      </c>
      <c r="E425" t="s">
        <v>306</v>
      </c>
      <c r="F425" t="s">
        <v>15</v>
      </c>
      <c r="G425" t="str">
        <f>"U21/Senior Mudansha"</f>
        <v>U21/Senior Mudansha</v>
      </c>
      <c r="H425" t="str">
        <f>"-81"</f>
        <v>-81</v>
      </c>
      <c r="I425" t="str">
        <f>"0408015"</f>
        <v>0408015</v>
      </c>
      <c r="J425" t="str">
        <f>"Yes"</f>
        <v>Yes</v>
      </c>
      <c r="K425" t="str">
        <f>"Quebec"</f>
        <v>Quebec</v>
      </c>
      <c r="M425" t="str">
        <f>""</f>
        <v/>
      </c>
      <c r="N425" t="s">
        <v>357</v>
      </c>
    </row>
    <row r="426" spans="1:14" hidden="1" x14ac:dyDescent="0.25">
      <c r="A426" t="str">
        <f>"Sébastien"</f>
        <v>Sébastien</v>
      </c>
      <c r="B426" t="str">
        <f>"Gauthier"</f>
        <v>Gauthier</v>
      </c>
      <c r="C426" t="s">
        <v>67</v>
      </c>
      <c r="D426" t="str">
        <f>"M"</f>
        <v>M</v>
      </c>
      <c r="E426" t="s">
        <v>160</v>
      </c>
      <c r="F426" t="s">
        <v>30</v>
      </c>
      <c r="G426" t="str">
        <f>"Ne-waza"</f>
        <v>Ne-waza</v>
      </c>
      <c r="H426" t="str">
        <f>"-81"</f>
        <v>-81</v>
      </c>
      <c r="I426" t="str">
        <f>"0011364"</f>
        <v>0011364</v>
      </c>
      <c r="J426" t="str">
        <f>"Yes"</f>
        <v>Yes</v>
      </c>
      <c r="K426" t="str">
        <f>"Quebec"</f>
        <v>Quebec</v>
      </c>
      <c r="N426" t="s">
        <v>358</v>
      </c>
    </row>
    <row r="427" spans="1:14" hidden="1" x14ac:dyDescent="0.25">
      <c r="A427" t="str">
        <f>"Louis-Maxime"</f>
        <v>Louis-Maxime</v>
      </c>
      <c r="B427" t="str">
        <f>"Dube"</f>
        <v>Dube</v>
      </c>
      <c r="C427" t="str">
        <f>"Judokas Jonquière"</f>
        <v>Judokas Jonquière</v>
      </c>
      <c r="D427" t="str">
        <f>"M"</f>
        <v>M</v>
      </c>
      <c r="E427" t="s">
        <v>38</v>
      </c>
      <c r="F427" t="s">
        <v>39</v>
      </c>
      <c r="G427" t="str">
        <f>"U14"</f>
        <v>U14</v>
      </c>
      <c r="H427" t="str">
        <f>"-42"</f>
        <v>-42</v>
      </c>
      <c r="I427" t="str">
        <f>"0207218"</f>
        <v>0207218</v>
      </c>
      <c r="J427" t="str">
        <f>"Yes"</f>
        <v>Yes</v>
      </c>
      <c r="K427" t="str">
        <f>"Quebec"</f>
        <v>Quebec</v>
      </c>
      <c r="N427" t="s">
        <v>344</v>
      </c>
    </row>
    <row r="428" spans="1:14" hidden="1" x14ac:dyDescent="0.25">
      <c r="A428" t="s">
        <v>359</v>
      </c>
      <c r="B428" t="s">
        <v>360</v>
      </c>
      <c r="C428" t="s">
        <v>361</v>
      </c>
      <c r="D428" t="s">
        <v>52</v>
      </c>
      <c r="E428" t="s">
        <v>27</v>
      </c>
      <c r="F428" t="s">
        <v>18</v>
      </c>
      <c r="G428" t="s">
        <v>72</v>
      </c>
      <c r="H428">
        <v>-73</v>
      </c>
      <c r="I428" t="s">
        <v>362</v>
      </c>
      <c r="J428" t="s">
        <v>46</v>
      </c>
      <c r="K428" t="s">
        <v>47</v>
      </c>
      <c r="M428" t="s">
        <v>35</v>
      </c>
      <c r="N428" t="s">
        <v>349</v>
      </c>
    </row>
    <row r="429" spans="1:14" hidden="1" x14ac:dyDescent="0.25">
      <c r="A429" t="s">
        <v>363</v>
      </c>
      <c r="B429" t="s">
        <v>364</v>
      </c>
      <c r="C429" t="s">
        <v>28</v>
      </c>
      <c r="D429" t="s">
        <v>52</v>
      </c>
      <c r="E429" t="s">
        <v>71</v>
      </c>
      <c r="F429" t="s">
        <v>30</v>
      </c>
      <c r="G429" t="s">
        <v>85</v>
      </c>
      <c r="H429" s="1">
        <v>-66</v>
      </c>
      <c r="I429" t="s">
        <v>365</v>
      </c>
      <c r="J429" t="s">
        <v>46</v>
      </c>
      <c r="K429" t="s">
        <v>47</v>
      </c>
      <c r="M429" t="s">
        <v>157</v>
      </c>
      <c r="N429" t="s">
        <v>254</v>
      </c>
    </row>
    <row r="430" spans="1:14" hidden="1" x14ac:dyDescent="0.25">
      <c r="A430" t="s">
        <v>366</v>
      </c>
      <c r="B430" t="s">
        <v>367</v>
      </c>
      <c r="C430" t="s">
        <v>81</v>
      </c>
      <c r="D430" t="s">
        <v>52</v>
      </c>
      <c r="E430" t="s">
        <v>17</v>
      </c>
      <c r="F430" t="s">
        <v>18</v>
      </c>
      <c r="G430" t="s">
        <v>72</v>
      </c>
      <c r="H430">
        <v>-73</v>
      </c>
      <c r="I430" t="s">
        <v>368</v>
      </c>
      <c r="J430" t="s">
        <v>46</v>
      </c>
      <c r="K430" t="s">
        <v>47</v>
      </c>
      <c r="M430" t="s">
        <v>35</v>
      </c>
      <c r="N430" t="s">
        <v>349</v>
      </c>
    </row>
    <row r="431" spans="1:14" hidden="1" x14ac:dyDescent="0.25">
      <c r="A431" t="str">
        <f>"Olivier"</f>
        <v>Olivier</v>
      </c>
      <c r="B431" t="str">
        <f>"Leroux"</f>
        <v>Leroux</v>
      </c>
      <c r="C431" t="str">
        <f>"Hontaï Dojo"</f>
        <v>Hontaï Dojo</v>
      </c>
      <c r="D431" t="str">
        <f>"M"</f>
        <v>M</v>
      </c>
      <c r="E431" t="s">
        <v>60</v>
      </c>
      <c r="F431" t="s">
        <v>15</v>
      </c>
      <c r="G431" t="str">
        <f>"U12"</f>
        <v>U12</v>
      </c>
      <c r="H431" t="str">
        <f>"-27"</f>
        <v>-27</v>
      </c>
      <c r="I431" t="str">
        <f>"0239624"</f>
        <v>0239624</v>
      </c>
      <c r="J431" t="str">
        <f>"Yes"</f>
        <v>Yes</v>
      </c>
      <c r="K431" t="str">
        <f>"Quebec"</f>
        <v>Quebec</v>
      </c>
      <c r="N431" t="s">
        <v>23</v>
      </c>
    </row>
    <row r="432" spans="1:14" hidden="1" x14ac:dyDescent="0.25">
      <c r="A432" t="str">
        <f>"Esteban"</f>
        <v>Esteban</v>
      </c>
      <c r="B432" t="str">
        <f>"Fournier"</f>
        <v>Fournier</v>
      </c>
      <c r="C432" t="str">
        <f>"Seïkidokan"</f>
        <v>Seïkidokan</v>
      </c>
      <c r="D432" t="str">
        <f>"M"</f>
        <v>M</v>
      </c>
      <c r="E432" t="s">
        <v>38</v>
      </c>
      <c r="F432" t="s">
        <v>64</v>
      </c>
      <c r="G432" t="str">
        <f>"U14"</f>
        <v>U14</v>
      </c>
      <c r="H432" t="str">
        <f>"-42"</f>
        <v>-42</v>
      </c>
      <c r="I432" t="str">
        <f>"0223992"</f>
        <v>0223992</v>
      </c>
      <c r="J432" t="str">
        <f>"Yes"</f>
        <v>Yes</v>
      </c>
      <c r="K432" t="str">
        <f>"Quebec"</f>
        <v>Quebec</v>
      </c>
      <c r="M432" t="str">
        <f>""</f>
        <v/>
      </c>
      <c r="N432" t="s">
        <v>344</v>
      </c>
    </row>
    <row r="433" spans="1:14" hidden="1" x14ac:dyDescent="0.25">
      <c r="A433" t="str">
        <f>"Zinedine"</f>
        <v>Zinedine</v>
      </c>
      <c r="B433" t="str">
        <f>"Gacete"</f>
        <v>Gacete</v>
      </c>
      <c r="C433" t="str">
        <f>"St-Leonard"</f>
        <v>St-Leonard</v>
      </c>
      <c r="D433" t="str">
        <f>"M"</f>
        <v>M</v>
      </c>
      <c r="E433" t="s">
        <v>38</v>
      </c>
      <c r="F433" t="s">
        <v>64</v>
      </c>
      <c r="G433" t="str">
        <f>"U14"</f>
        <v>U14</v>
      </c>
      <c r="H433" t="str">
        <f>"-42"</f>
        <v>-42</v>
      </c>
      <c r="I433" t="str">
        <f>"0200846"</f>
        <v>0200846</v>
      </c>
      <c r="J433" t="str">
        <f>"Yes"</f>
        <v>Yes</v>
      </c>
      <c r="K433" t="str">
        <f>"Quebec"</f>
        <v>Quebec</v>
      </c>
      <c r="M433" t="str">
        <f>""</f>
        <v/>
      </c>
      <c r="N433" t="s">
        <v>344</v>
      </c>
    </row>
    <row r="434" spans="1:14" hidden="1" x14ac:dyDescent="0.25">
      <c r="A434" t="str">
        <f>"Kaleb"</f>
        <v>Kaleb</v>
      </c>
      <c r="B434" t="str">
        <f>"L'esperance"</f>
        <v>L'esperance</v>
      </c>
      <c r="C434" t="str">
        <f>"Blainville"</f>
        <v>Blainville</v>
      </c>
      <c r="D434" t="str">
        <f>"M"</f>
        <v>M</v>
      </c>
      <c r="E434" t="s">
        <v>21</v>
      </c>
      <c r="F434" t="s">
        <v>37</v>
      </c>
      <c r="G434" t="str">
        <f>"U12"</f>
        <v>U12</v>
      </c>
      <c r="H434" t="str">
        <f>"-49"</f>
        <v>-49</v>
      </c>
      <c r="I434" t="str">
        <f>"0235081"</f>
        <v>0235081</v>
      </c>
      <c r="J434" t="str">
        <f>"Yes"</f>
        <v>Yes</v>
      </c>
      <c r="K434" t="str">
        <f>"Quebec"</f>
        <v>Quebec</v>
      </c>
      <c r="N434" t="s">
        <v>23</v>
      </c>
    </row>
    <row r="435" spans="1:14" hidden="1" x14ac:dyDescent="0.25">
      <c r="A435" t="str">
        <f>"Caroline"</f>
        <v>Caroline</v>
      </c>
      <c r="B435" t="str">
        <f>"Lessard"</f>
        <v>Lessard</v>
      </c>
      <c r="C435" t="str">
        <f>"Baie-Comeau"</f>
        <v>Baie-Comeau</v>
      </c>
      <c r="D435" t="str">
        <f>"F"</f>
        <v>F</v>
      </c>
      <c r="E435" t="s">
        <v>302</v>
      </c>
      <c r="F435" t="s">
        <v>64</v>
      </c>
      <c r="G435" t="str">
        <f>"U21/Senior Mudansha"</f>
        <v>U21/Senior Mudansha</v>
      </c>
      <c r="H435" t="str">
        <f>"-63"</f>
        <v>-63</v>
      </c>
      <c r="I435" t="str">
        <f>"0221824"</f>
        <v>0221824</v>
      </c>
      <c r="J435" t="str">
        <f>"Yes"</f>
        <v>Yes</v>
      </c>
      <c r="K435" t="str">
        <f>"Quebec"</f>
        <v>Quebec</v>
      </c>
      <c r="N435" t="s">
        <v>352</v>
      </c>
    </row>
    <row r="436" spans="1:14" hidden="1" x14ac:dyDescent="0.25">
      <c r="A436" t="str">
        <f>"Thomas"</f>
        <v>Thomas</v>
      </c>
      <c r="B436" t="str">
        <f>"Tremblay"</f>
        <v>Tremblay</v>
      </c>
      <c r="C436" t="str">
        <f>"Institut Judo Chicoutimi"</f>
        <v>Institut Judo Chicoutimi</v>
      </c>
      <c r="D436" t="str">
        <f>"M"</f>
        <v>M</v>
      </c>
      <c r="E436" t="s">
        <v>24</v>
      </c>
      <c r="F436" t="s">
        <v>39</v>
      </c>
      <c r="G436" t="str">
        <f>"U16"</f>
        <v>U16</v>
      </c>
      <c r="H436" t="str">
        <f>"-55"</f>
        <v>-55</v>
      </c>
      <c r="I436" t="str">
        <f>"0190362"</f>
        <v>0190362</v>
      </c>
      <c r="J436" t="str">
        <f>"Yes"</f>
        <v>Yes</v>
      </c>
      <c r="K436" t="str">
        <f>"Quebec"</f>
        <v>Quebec</v>
      </c>
      <c r="M436" t="str">
        <f>""</f>
        <v/>
      </c>
      <c r="N436" t="s">
        <v>318</v>
      </c>
    </row>
    <row r="437" spans="1:14" hidden="1" x14ac:dyDescent="0.25">
      <c r="A437" t="str">
        <f>"Hugo"</f>
        <v>Hugo</v>
      </c>
      <c r="B437" t="str">
        <f>"Langelier"</f>
        <v>Langelier</v>
      </c>
      <c r="C437" t="str">
        <f>"Sept-Iles"</f>
        <v>Sept-Iles</v>
      </c>
      <c r="D437" t="str">
        <f>"M"</f>
        <v>M</v>
      </c>
      <c r="E437" t="s">
        <v>14</v>
      </c>
      <c r="F437" t="s">
        <v>39</v>
      </c>
      <c r="G437" t="str">
        <f>"U14"</f>
        <v>U14</v>
      </c>
      <c r="H437" t="str">
        <f>"-42"</f>
        <v>-42</v>
      </c>
      <c r="I437" t="str">
        <f>"0182477"</f>
        <v>0182477</v>
      </c>
      <c r="J437" t="str">
        <f>"Yes"</f>
        <v>Yes</v>
      </c>
      <c r="K437" t="str">
        <f>"Quebec"</f>
        <v>Quebec</v>
      </c>
      <c r="N437" t="s">
        <v>344</v>
      </c>
    </row>
    <row r="438" spans="1:14" hidden="1" x14ac:dyDescent="0.25">
      <c r="A438" t="str">
        <f>"Marwa"</f>
        <v>Marwa</v>
      </c>
      <c r="B438" t="str">
        <f>"Misraoui"</f>
        <v>Misraoui</v>
      </c>
      <c r="C438" t="str">
        <f>"St-Leonard"</f>
        <v>St-Leonard</v>
      </c>
      <c r="D438" t="str">
        <f>"F"</f>
        <v>F</v>
      </c>
      <c r="E438" t="s">
        <v>32</v>
      </c>
      <c r="F438" t="s">
        <v>37</v>
      </c>
      <c r="G438" t="str">
        <f>"U16"</f>
        <v>U16</v>
      </c>
      <c r="H438" t="str">
        <f>"-52"</f>
        <v>-52</v>
      </c>
      <c r="I438" t="str">
        <f>"0410442"</f>
        <v>0410442</v>
      </c>
      <c r="J438" t="str">
        <f>"Yes"</f>
        <v>Yes</v>
      </c>
      <c r="K438" t="str">
        <f>"Quebec"</f>
        <v>Quebec</v>
      </c>
      <c r="M438" t="s">
        <v>110</v>
      </c>
      <c r="N438" t="s">
        <v>369</v>
      </c>
    </row>
    <row r="439" spans="1:14" hidden="1" x14ac:dyDescent="0.25">
      <c r="A439" t="str">
        <f>"Denis"</f>
        <v>Denis</v>
      </c>
      <c r="B439" t="str">
        <f>"Voronov"</f>
        <v>Voronov</v>
      </c>
      <c r="C439" t="str">
        <f>"Ippon Judo Club"</f>
        <v>Ippon Judo Club</v>
      </c>
      <c r="D439" t="str">
        <f>"M"</f>
        <v>M</v>
      </c>
      <c r="E439" t="s">
        <v>32</v>
      </c>
      <c r="F439" t="s">
        <v>39</v>
      </c>
      <c r="G439" t="str">
        <f>"U16"</f>
        <v>U16</v>
      </c>
      <c r="H439" t="str">
        <f>"-55"</f>
        <v>-55</v>
      </c>
      <c r="I439" t="str">
        <f>"0206471"</f>
        <v>0206471</v>
      </c>
      <c r="J439" t="str">
        <f>"Yes"</f>
        <v>Yes</v>
      </c>
      <c r="K439" t="str">
        <f>"Quebec"</f>
        <v>Quebec</v>
      </c>
      <c r="N439" t="s">
        <v>318</v>
      </c>
    </row>
    <row r="440" spans="1:14" hidden="1" x14ac:dyDescent="0.25">
      <c r="A440" t="s">
        <v>370</v>
      </c>
      <c r="B440" t="s">
        <v>371</v>
      </c>
      <c r="C440" t="s">
        <v>43</v>
      </c>
      <c r="D440" t="s">
        <v>52</v>
      </c>
      <c r="E440" t="s">
        <v>71</v>
      </c>
      <c r="F440" t="s">
        <v>18</v>
      </c>
      <c r="G440" t="s">
        <v>85</v>
      </c>
      <c r="H440" s="1">
        <v>-66</v>
      </c>
      <c r="I440" t="s">
        <v>372</v>
      </c>
      <c r="J440" t="s">
        <v>46</v>
      </c>
      <c r="K440" t="s">
        <v>47</v>
      </c>
      <c r="M440" t="s">
        <v>157</v>
      </c>
      <c r="N440" t="s">
        <v>254</v>
      </c>
    </row>
    <row r="441" spans="1:14" hidden="1" x14ac:dyDescent="0.25">
      <c r="A441" t="s">
        <v>223</v>
      </c>
      <c r="B441" t="s">
        <v>373</v>
      </c>
      <c r="C441" t="s">
        <v>28</v>
      </c>
      <c r="D441" t="s">
        <v>52</v>
      </c>
      <c r="E441" t="s">
        <v>27</v>
      </c>
      <c r="F441" t="s">
        <v>18</v>
      </c>
      <c r="G441" t="s">
        <v>72</v>
      </c>
      <c r="H441">
        <v>-73</v>
      </c>
      <c r="I441" t="s">
        <v>374</v>
      </c>
      <c r="J441" t="s">
        <v>46</v>
      </c>
      <c r="K441" t="s">
        <v>47</v>
      </c>
      <c r="M441" t="s">
        <v>35</v>
      </c>
      <c r="N441" t="s">
        <v>349</v>
      </c>
    </row>
    <row r="442" spans="1:14" hidden="1" x14ac:dyDescent="0.25">
      <c r="A442" t="str">
        <f>"Philip"</f>
        <v>Philip</v>
      </c>
      <c r="B442" t="str">
        <f>"Dion"</f>
        <v>Dion</v>
      </c>
      <c r="C442" t="str">
        <f>"Boucherville"</f>
        <v>Boucherville</v>
      </c>
      <c r="D442" t="str">
        <f>"M"</f>
        <v>M</v>
      </c>
      <c r="E442" t="s">
        <v>29</v>
      </c>
      <c r="F442" t="s">
        <v>132</v>
      </c>
      <c r="G442" t="s">
        <v>85</v>
      </c>
      <c r="H442" s="1" t="str">
        <f>"-73"</f>
        <v>-73</v>
      </c>
      <c r="I442" t="str">
        <f>"0107241"</f>
        <v>0107241</v>
      </c>
      <c r="J442" t="str">
        <f>"Yes"</f>
        <v>Yes</v>
      </c>
      <c r="K442" t="str">
        <f>"Quebec"</f>
        <v>Quebec</v>
      </c>
      <c r="M442" t="str">
        <f>"2 divisions : Senior A + Ne-waza"</f>
        <v>2 divisions : Senior A + Ne-waza</v>
      </c>
      <c r="N442" t="s">
        <v>375</v>
      </c>
    </row>
    <row r="443" spans="1:14" hidden="1" x14ac:dyDescent="0.25">
      <c r="A443" t="str">
        <f>"Jules"</f>
        <v>Jules</v>
      </c>
      <c r="B443" t="str">
        <f>"Martin"</f>
        <v>Martin</v>
      </c>
      <c r="C443" t="str">
        <f>"Seiko"</f>
        <v>Seiko</v>
      </c>
      <c r="D443" t="str">
        <f>"M"</f>
        <v>M</v>
      </c>
      <c r="E443" t="s">
        <v>71</v>
      </c>
      <c r="F443" t="s">
        <v>30</v>
      </c>
      <c r="G443" t="s">
        <v>72</v>
      </c>
      <c r="H443" t="str">
        <f>"-73"</f>
        <v>-73</v>
      </c>
      <c r="I443" t="str">
        <f>"0102045"</f>
        <v>0102045</v>
      </c>
      <c r="J443" t="str">
        <f>"Yes"</f>
        <v>Yes</v>
      </c>
      <c r="K443" t="str">
        <f>"Quebec"</f>
        <v>Quebec</v>
      </c>
      <c r="M443" t="str">
        <f>"2 divisions : U21/Senior B + Senior A"</f>
        <v>2 divisions : U21/Senior B + Senior A</v>
      </c>
      <c r="N443" t="s">
        <v>349</v>
      </c>
    </row>
    <row r="444" spans="1:14" hidden="1" x14ac:dyDescent="0.25">
      <c r="A444" t="str">
        <f>"Kaylee"</f>
        <v>Kaylee</v>
      </c>
      <c r="B444" t="str">
        <f>"Lewis"</f>
        <v>Lewis</v>
      </c>
      <c r="C444" t="str">
        <f>"Perrot Shima"</f>
        <v>Perrot Shima</v>
      </c>
      <c r="D444" t="str">
        <f>"F"</f>
        <v>F</v>
      </c>
      <c r="E444" t="s">
        <v>21</v>
      </c>
      <c r="F444" t="s">
        <v>90</v>
      </c>
      <c r="G444" t="str">
        <f>"U12"</f>
        <v>U12</v>
      </c>
      <c r="H444" t="str">
        <f>"-45"</f>
        <v>-45</v>
      </c>
      <c r="I444" t="str">
        <f>"0232842"</f>
        <v>0232842</v>
      </c>
      <c r="J444" t="str">
        <f>"Yes"</f>
        <v>Yes</v>
      </c>
      <c r="K444" t="str">
        <f>"Quebec"</f>
        <v>Quebec</v>
      </c>
      <c r="N444" t="s">
        <v>91</v>
      </c>
    </row>
    <row r="445" spans="1:14" hidden="1" x14ac:dyDescent="0.25">
      <c r="A445" t="str">
        <f>"Leon"</f>
        <v>Leon</v>
      </c>
      <c r="B445" t="str">
        <f>"Zakaryan"</f>
        <v>Zakaryan</v>
      </c>
      <c r="C445" t="str">
        <f>"Shidokan"</f>
        <v>Shidokan</v>
      </c>
      <c r="D445" t="str">
        <f>"M"</f>
        <v>M</v>
      </c>
      <c r="E445" t="s">
        <v>24</v>
      </c>
      <c r="F445" t="s">
        <v>39</v>
      </c>
      <c r="G445" t="str">
        <f>"U16"</f>
        <v>U16</v>
      </c>
      <c r="H445" t="str">
        <f>"-55"</f>
        <v>-55</v>
      </c>
      <c r="I445" t="str">
        <f>"0222711"</f>
        <v>0222711</v>
      </c>
      <c r="J445" t="str">
        <f>"Yes"</f>
        <v>Yes</v>
      </c>
      <c r="K445" t="str">
        <f>"Quebec"</f>
        <v>Quebec</v>
      </c>
      <c r="N445" t="s">
        <v>318</v>
      </c>
    </row>
    <row r="446" spans="1:14" x14ac:dyDescent="0.25">
      <c r="A446" t="str">
        <f>"David"</f>
        <v>David</v>
      </c>
      <c r="B446" t="str">
        <f>"Popovici"</f>
        <v>Popovici</v>
      </c>
      <c r="C446" t="str">
        <f>"Shidokan"</f>
        <v>Shidokan</v>
      </c>
      <c r="D446" t="str">
        <f>"M"</f>
        <v>M</v>
      </c>
      <c r="E446" t="s">
        <v>17</v>
      </c>
      <c r="F446" t="s">
        <v>30</v>
      </c>
      <c r="G446" t="s">
        <v>25</v>
      </c>
      <c r="H446" t="str">
        <f>"-66"</f>
        <v>-66</v>
      </c>
      <c r="I446" t="str">
        <f>"0201231"</f>
        <v>0201231</v>
      </c>
      <c r="J446" t="str">
        <f>"Yes"</f>
        <v>Yes</v>
      </c>
      <c r="K446" t="str">
        <f>"Quebec"</f>
        <v>Quebec</v>
      </c>
      <c r="M446" t="str">
        <f>"2 divisions : U18 + U21/Sénior B"</f>
        <v>2 divisions : U18 + U21/Sénior B</v>
      </c>
      <c r="N446" t="s">
        <v>295</v>
      </c>
    </row>
    <row r="447" spans="1:14" hidden="1" x14ac:dyDescent="0.25">
      <c r="A447" t="str">
        <f>"Luca"</f>
        <v>Luca</v>
      </c>
      <c r="B447" t="str">
        <f>"Nephtali"</f>
        <v>Nephtali</v>
      </c>
      <c r="C447" t="str">
        <f>"Boucherville"</f>
        <v>Boucherville</v>
      </c>
      <c r="D447" t="str">
        <f>"M"</f>
        <v>M</v>
      </c>
      <c r="E447" t="s">
        <v>38</v>
      </c>
      <c r="F447" t="s">
        <v>33</v>
      </c>
      <c r="G447" t="str">
        <f>"U14"</f>
        <v>U14</v>
      </c>
      <c r="H447" t="str">
        <f>"-42"</f>
        <v>-42</v>
      </c>
      <c r="I447" t="str">
        <f>"0177243"</f>
        <v>0177243</v>
      </c>
      <c r="J447" t="str">
        <f>"Yes"</f>
        <v>Yes</v>
      </c>
      <c r="K447" t="str">
        <f>"Quebec"</f>
        <v>Quebec</v>
      </c>
      <c r="N447" t="s">
        <v>344</v>
      </c>
    </row>
    <row r="448" spans="1:14" hidden="1" x14ac:dyDescent="0.25">
      <c r="A448" t="str">
        <f>"Guillaume"</f>
        <v>Guillaume</v>
      </c>
      <c r="B448" t="str">
        <f>"Auclair"</f>
        <v>Auclair</v>
      </c>
      <c r="C448" t="str">
        <f>"Torakai"</f>
        <v>Torakai</v>
      </c>
      <c r="D448" t="str">
        <f>"M"</f>
        <v>M</v>
      </c>
      <c r="E448" t="s">
        <v>24</v>
      </c>
      <c r="F448" t="s">
        <v>18</v>
      </c>
      <c r="G448" t="str">
        <f>"U16"</f>
        <v>U16</v>
      </c>
      <c r="H448" t="str">
        <f>"-60"</f>
        <v>-60</v>
      </c>
      <c r="I448" t="str">
        <f>"0199411"</f>
        <v>0199411</v>
      </c>
      <c r="J448" t="str">
        <f>"Yes"</f>
        <v>Yes</v>
      </c>
      <c r="K448" t="str">
        <f>"Quebec"</f>
        <v>Quebec</v>
      </c>
      <c r="M448" t="str">
        <f>""</f>
        <v/>
      </c>
      <c r="N448" t="s">
        <v>376</v>
      </c>
    </row>
    <row r="449" spans="1:14" x14ac:dyDescent="0.25">
      <c r="A449" t="str">
        <f>"Xavier"</f>
        <v>Xavier</v>
      </c>
      <c r="B449" t="str">
        <f>"Roy"</f>
        <v>Roy</v>
      </c>
      <c r="C449" t="str">
        <f>"Judo Beauce"</f>
        <v>Judo Beauce</v>
      </c>
      <c r="D449" t="str">
        <f>"M"</f>
        <v>M</v>
      </c>
      <c r="E449" t="s">
        <v>17</v>
      </c>
      <c r="F449" t="s">
        <v>39</v>
      </c>
      <c r="G449" t="str">
        <f>"U18"</f>
        <v>U18</v>
      </c>
      <c r="H449" t="str">
        <f>"-66"</f>
        <v>-66</v>
      </c>
      <c r="I449" t="str">
        <f>"0227732"</f>
        <v>0227732</v>
      </c>
      <c r="J449" t="str">
        <f>"Yes"</f>
        <v>Yes</v>
      </c>
      <c r="K449" t="str">
        <f>"Quebec"</f>
        <v>Quebec</v>
      </c>
      <c r="N449" t="s">
        <v>295</v>
      </c>
    </row>
    <row r="450" spans="1:14" x14ac:dyDescent="0.25">
      <c r="A450" t="str">
        <f>"Rania"</f>
        <v>Rania</v>
      </c>
      <c r="B450" t="str">
        <f>"Alaoui Yazidi"</f>
        <v>Alaoui Yazidi</v>
      </c>
      <c r="C450" t="str">
        <f>"Budokan Saint-Laurent"</f>
        <v>Budokan Saint-Laurent</v>
      </c>
      <c r="D450" t="str">
        <f>"F"</f>
        <v>F</v>
      </c>
      <c r="E450" t="s">
        <v>27</v>
      </c>
      <c r="F450" t="s">
        <v>18</v>
      </c>
      <c r="G450" t="str">
        <f>"U18"</f>
        <v>U18</v>
      </c>
      <c r="H450" t="str">
        <f>"-57"</f>
        <v>-57</v>
      </c>
      <c r="I450" t="str">
        <f>"0188083"</f>
        <v>0188083</v>
      </c>
      <c r="J450" t="str">
        <f>"Yes"</f>
        <v>Yes</v>
      </c>
      <c r="K450" t="str">
        <f>"Quebec"</f>
        <v>Quebec</v>
      </c>
      <c r="N450" t="s">
        <v>345</v>
      </c>
    </row>
    <row r="451" spans="1:14" hidden="1" x14ac:dyDescent="0.25">
      <c r="A451" t="str">
        <f>"William"</f>
        <v>William</v>
      </c>
      <c r="B451" t="str">
        <f>"Maheux"</f>
        <v>Maheux</v>
      </c>
      <c r="C451" t="str">
        <f>"Judo Beauce"</f>
        <v>Judo Beauce</v>
      </c>
      <c r="D451" t="str">
        <f>"M"</f>
        <v>M</v>
      </c>
      <c r="E451" t="s">
        <v>21</v>
      </c>
      <c r="F451" t="s">
        <v>64</v>
      </c>
      <c r="G451" t="str">
        <f>"U12"</f>
        <v>U12</v>
      </c>
      <c r="H451" t="str">
        <f>"-27"</f>
        <v>-27</v>
      </c>
      <c r="I451" t="str">
        <f>"0220930"</f>
        <v>0220930</v>
      </c>
      <c r="J451" t="str">
        <f>"Yes"</f>
        <v>Yes</v>
      </c>
      <c r="K451" t="str">
        <f>"Quebec"</f>
        <v>Quebec</v>
      </c>
      <c r="N451" t="s">
        <v>23</v>
      </c>
    </row>
    <row r="452" spans="1:14" hidden="1" x14ac:dyDescent="0.25">
      <c r="A452" t="str">
        <f>"Emmanuelle"</f>
        <v>Emmanuelle</v>
      </c>
      <c r="B452" t="str">
        <f>"Batisse"</f>
        <v>Batisse</v>
      </c>
      <c r="C452" t="str">
        <f>"Kiseki Judo"</f>
        <v>Kiseki Judo</v>
      </c>
      <c r="D452" t="str">
        <f>"F"</f>
        <v>F</v>
      </c>
      <c r="E452" t="s">
        <v>377</v>
      </c>
      <c r="F452" t="s">
        <v>30</v>
      </c>
      <c r="G452" t="str">
        <f>"Senior A"</f>
        <v>Senior A</v>
      </c>
      <c r="H452" s="1" t="str">
        <f>"-57"</f>
        <v>-57</v>
      </c>
      <c r="I452" t="str">
        <f>"0179901"</f>
        <v>0179901</v>
      </c>
      <c r="J452" t="str">
        <f>"Yes"</f>
        <v>Yes</v>
      </c>
      <c r="K452" t="str">
        <f>"Quebec"</f>
        <v>Quebec</v>
      </c>
      <c r="M452" t="str">
        <f>""</f>
        <v/>
      </c>
      <c r="N452" t="s">
        <v>378</v>
      </c>
    </row>
    <row r="453" spans="1:14" hidden="1" x14ac:dyDescent="0.25">
      <c r="A453" t="str">
        <f>"Monique"</f>
        <v>Monique</v>
      </c>
      <c r="B453" t="str">
        <f>"Tie"</f>
        <v>Tie</v>
      </c>
      <c r="C453" t="s">
        <v>28</v>
      </c>
      <c r="D453" t="str">
        <f>"F"</f>
        <v>F</v>
      </c>
      <c r="E453">
        <v>1988</v>
      </c>
      <c r="F453" t="s">
        <v>18</v>
      </c>
      <c r="G453" t="s">
        <v>72</v>
      </c>
      <c r="H453">
        <v>-52</v>
      </c>
      <c r="I453" t="str">
        <f>"0223006"</f>
        <v>0223006</v>
      </c>
      <c r="J453" t="str">
        <f>"Yes"</f>
        <v>Yes</v>
      </c>
      <c r="K453" t="s">
        <v>47</v>
      </c>
      <c r="M453" t="str">
        <f>"2 divisions : U21/Senior B + Senior A"</f>
        <v>2 divisions : U21/Senior B + Senior A</v>
      </c>
      <c r="N453" t="s">
        <v>238</v>
      </c>
    </row>
    <row r="454" spans="1:14" hidden="1" x14ac:dyDescent="0.25">
      <c r="A454" t="str">
        <f>"Janie"</f>
        <v>Janie</v>
      </c>
      <c r="B454" t="str">
        <f>"Meunier"</f>
        <v>Meunier</v>
      </c>
      <c r="C454" t="str">
        <f>"Olympique"</f>
        <v>Olympique</v>
      </c>
      <c r="D454" t="str">
        <f>"F"</f>
        <v>F</v>
      </c>
      <c r="E454" t="s">
        <v>131</v>
      </c>
      <c r="F454" t="s">
        <v>30</v>
      </c>
      <c r="G454" t="str">
        <f>"Senior A"</f>
        <v>Senior A</v>
      </c>
      <c r="H454" s="1" t="str">
        <f>"-57"</f>
        <v>-57</v>
      </c>
      <c r="I454" t="str">
        <f>"0090451"</f>
        <v>0090451</v>
      </c>
      <c r="J454" t="str">
        <f>"Yes"</f>
        <v>Yes</v>
      </c>
      <c r="K454" t="str">
        <f>"Quebec"</f>
        <v>Quebec</v>
      </c>
      <c r="N454" t="s">
        <v>378</v>
      </c>
    </row>
    <row r="455" spans="1:14" hidden="1" x14ac:dyDescent="0.25">
      <c r="A455" t="str">
        <f>"Sylia"</f>
        <v>Sylia</v>
      </c>
      <c r="B455" t="str">
        <f>"Maloum"</f>
        <v>Maloum</v>
      </c>
      <c r="C455" t="str">
        <f>"Métropolitain"</f>
        <v>Métropolitain</v>
      </c>
      <c r="D455" t="str">
        <f>"F"</f>
        <v>F</v>
      </c>
      <c r="E455" t="s">
        <v>21</v>
      </c>
      <c r="F455" t="s">
        <v>90</v>
      </c>
      <c r="G455" t="str">
        <f>"U12"</f>
        <v>U12</v>
      </c>
      <c r="H455" t="str">
        <f>"-30"</f>
        <v>-30</v>
      </c>
      <c r="I455" t="str">
        <f>"0192678"</f>
        <v>0192678</v>
      </c>
      <c r="J455" t="str">
        <f>"Yes"</f>
        <v>Yes</v>
      </c>
      <c r="K455" t="str">
        <f>"Quebec"</f>
        <v>Quebec</v>
      </c>
      <c r="N455" t="s">
        <v>91</v>
      </c>
    </row>
    <row r="456" spans="1:14" hidden="1" x14ac:dyDescent="0.25">
      <c r="A456" t="s">
        <v>379</v>
      </c>
      <c r="B456" t="s">
        <v>380</v>
      </c>
      <c r="C456" t="s">
        <v>211</v>
      </c>
      <c r="D456" t="s">
        <v>44</v>
      </c>
      <c r="E456" t="s">
        <v>27</v>
      </c>
      <c r="F456" t="s">
        <v>18</v>
      </c>
      <c r="G456" t="s">
        <v>72</v>
      </c>
      <c r="H456">
        <v>-63</v>
      </c>
      <c r="I456" t="s">
        <v>381</v>
      </c>
      <c r="J456" t="s">
        <v>46</v>
      </c>
      <c r="K456" t="s">
        <v>47</v>
      </c>
      <c r="M456" t="s">
        <v>35</v>
      </c>
      <c r="N456" t="s">
        <v>382</v>
      </c>
    </row>
    <row r="457" spans="1:14" hidden="1" x14ac:dyDescent="0.25">
      <c r="A457" t="str">
        <f>"Jean-Philippe"</f>
        <v>Jean-Philippe</v>
      </c>
      <c r="B457" t="str">
        <f>"Maltais"</f>
        <v>Maltais</v>
      </c>
      <c r="C457" t="str">
        <f>"Institut Judo Chicoutimi"</f>
        <v>Institut Judo Chicoutimi</v>
      </c>
      <c r="D457" t="str">
        <f>"M"</f>
        <v>M</v>
      </c>
      <c r="E457" t="s">
        <v>383</v>
      </c>
      <c r="F457" t="s">
        <v>30</v>
      </c>
      <c r="G457" t="str">
        <f>"Ne-waza"</f>
        <v>Ne-waza</v>
      </c>
      <c r="H457" t="str">
        <f>"-81"</f>
        <v>-81</v>
      </c>
      <c r="I457" t="str">
        <f>"0082365"</f>
        <v>0082365</v>
      </c>
      <c r="J457" t="str">
        <f>"Yes"</f>
        <v>Yes</v>
      </c>
      <c r="K457" t="str">
        <f>"Quebec"</f>
        <v>Quebec</v>
      </c>
      <c r="N457" t="s">
        <v>358</v>
      </c>
    </row>
    <row r="458" spans="1:14" hidden="1" x14ac:dyDescent="0.25">
      <c r="A458" t="str">
        <f>"Alexis"</f>
        <v>Alexis</v>
      </c>
      <c r="B458" t="str">
        <f>"Pouliot"</f>
        <v>Pouliot</v>
      </c>
      <c r="C458" t="str">
        <f>"Baie-Comeau"</f>
        <v>Baie-Comeau</v>
      </c>
      <c r="D458" t="str">
        <f>"M"</f>
        <v>M</v>
      </c>
      <c r="E458" t="s">
        <v>38</v>
      </c>
      <c r="F458" t="s">
        <v>64</v>
      </c>
      <c r="G458" t="str">
        <f>"U14"</f>
        <v>U14</v>
      </c>
      <c r="H458" t="str">
        <f>"-42"</f>
        <v>-42</v>
      </c>
      <c r="I458" t="str">
        <f>"0189646"</f>
        <v>0189646</v>
      </c>
      <c r="J458" t="str">
        <f>"Yes"</f>
        <v>Yes</v>
      </c>
      <c r="K458" t="str">
        <f>"Quebec"</f>
        <v>Quebec</v>
      </c>
      <c r="N458" t="s">
        <v>344</v>
      </c>
    </row>
    <row r="459" spans="1:14" hidden="1" x14ac:dyDescent="0.25">
      <c r="A459" t="str">
        <f>"Frederique"</f>
        <v>Frederique</v>
      </c>
      <c r="B459" t="str">
        <f>"Lavigne"</f>
        <v>Lavigne</v>
      </c>
      <c r="C459" t="str">
        <f>"Métropolitain"</f>
        <v>Métropolitain</v>
      </c>
      <c r="D459" t="str">
        <f>"F"</f>
        <v>F</v>
      </c>
      <c r="E459" s="3" t="s">
        <v>38</v>
      </c>
      <c r="F459" t="s">
        <v>64</v>
      </c>
      <c r="G459" t="s">
        <v>151</v>
      </c>
      <c r="H459" t="str">
        <f>"-57"</f>
        <v>-57</v>
      </c>
      <c r="I459" t="str">
        <f>"0197620"</f>
        <v>0197620</v>
      </c>
      <c r="J459" t="str">
        <f>"Yes"</f>
        <v>Yes</v>
      </c>
      <c r="K459" t="str">
        <f>"Quebec"</f>
        <v>Quebec</v>
      </c>
      <c r="M459" t="s">
        <v>384</v>
      </c>
      <c r="N459" t="s">
        <v>339</v>
      </c>
    </row>
    <row r="460" spans="1:14" x14ac:dyDescent="0.25">
      <c r="A460" t="str">
        <f>"Adele"</f>
        <v>Adele</v>
      </c>
      <c r="B460" t="str">
        <f>"Charneau"</f>
        <v>Charneau</v>
      </c>
      <c r="C460" t="str">
        <f>"St-Paul l'Ermite"</f>
        <v>St-Paul l'Ermite</v>
      </c>
      <c r="D460" t="str">
        <f>"F"</f>
        <v>F</v>
      </c>
      <c r="E460" s="3" t="s">
        <v>32</v>
      </c>
      <c r="F460" t="s">
        <v>39</v>
      </c>
      <c r="G460" t="s">
        <v>25</v>
      </c>
      <c r="H460" t="str">
        <f>"-57"</f>
        <v>-57</v>
      </c>
      <c r="I460" t="str">
        <f>"0189040"</f>
        <v>0189040</v>
      </c>
      <c r="J460" t="str">
        <f>"Yes"</f>
        <v>Yes</v>
      </c>
      <c r="K460" t="str">
        <f>"Quebec"</f>
        <v>Quebec</v>
      </c>
      <c r="M460" t="s">
        <v>351</v>
      </c>
      <c r="N460" t="s">
        <v>345</v>
      </c>
    </row>
    <row r="461" spans="1:14" hidden="1" x14ac:dyDescent="0.25">
      <c r="A461" t="str">
        <f>"Charles-Etienne"</f>
        <v>Charles-Etienne</v>
      </c>
      <c r="B461" t="str">
        <f>"Boulianne"</f>
        <v>Boulianne</v>
      </c>
      <c r="C461" t="str">
        <f>"Albatros"</f>
        <v>Albatros</v>
      </c>
      <c r="D461" t="str">
        <f>"M"</f>
        <v>M</v>
      </c>
      <c r="E461" t="s">
        <v>32</v>
      </c>
      <c r="F461" t="s">
        <v>39</v>
      </c>
      <c r="G461" t="str">
        <f>"U16"</f>
        <v>U16</v>
      </c>
      <c r="H461" t="str">
        <f>"-60"</f>
        <v>-60</v>
      </c>
      <c r="I461" t="str">
        <f>"0181068"</f>
        <v>0181068</v>
      </c>
      <c r="J461" t="str">
        <f>"Yes"</f>
        <v>Yes</v>
      </c>
      <c r="K461" t="str">
        <f>"Quebec"</f>
        <v>Quebec</v>
      </c>
      <c r="N461" t="s">
        <v>376</v>
      </c>
    </row>
    <row r="462" spans="1:14" hidden="1" x14ac:dyDescent="0.25">
      <c r="A462" t="str">
        <f>"Zachary"</f>
        <v>Zachary</v>
      </c>
      <c r="B462" t="str">
        <f>"Raymond"</f>
        <v>Raymond</v>
      </c>
      <c r="C462" t="str">
        <f>"St-Jean Bosco"</f>
        <v>St-Jean Bosco</v>
      </c>
      <c r="D462" t="str">
        <f>"M"</f>
        <v>M</v>
      </c>
      <c r="E462" t="s">
        <v>38</v>
      </c>
      <c r="F462" t="s">
        <v>64</v>
      </c>
      <c r="G462" t="str">
        <f>"U14"</f>
        <v>U14</v>
      </c>
      <c r="H462" t="str">
        <f>"-42"</f>
        <v>-42</v>
      </c>
      <c r="I462" t="str">
        <f>"0180033"</f>
        <v>0180033</v>
      </c>
      <c r="J462" t="str">
        <f>"Yes"</f>
        <v>Yes</v>
      </c>
      <c r="K462" t="str">
        <f>"Quebec"</f>
        <v>Quebec</v>
      </c>
      <c r="M462" t="str">
        <f>""</f>
        <v/>
      </c>
      <c r="N462" t="s">
        <v>344</v>
      </c>
    </row>
    <row r="463" spans="1:14" hidden="1" x14ac:dyDescent="0.25">
      <c r="A463" t="str">
        <f>"Victor"</f>
        <v>Victor</v>
      </c>
      <c r="B463" t="str">
        <f>"Dessureault"</f>
        <v>Dessureault</v>
      </c>
      <c r="C463" t="str">
        <f>"Judokas Jonquière"</f>
        <v>Judokas Jonquière</v>
      </c>
      <c r="D463" t="str">
        <f>"M"</f>
        <v>M</v>
      </c>
      <c r="E463" t="s">
        <v>24</v>
      </c>
      <c r="F463" t="s">
        <v>18</v>
      </c>
      <c r="G463" t="s">
        <v>151</v>
      </c>
      <c r="H463" t="str">
        <f>"-60"</f>
        <v>-60</v>
      </c>
      <c r="I463" t="str">
        <f>"0192159"</f>
        <v>0192159</v>
      </c>
      <c r="J463" t="str">
        <f>"Yes"</f>
        <v>Yes</v>
      </c>
      <c r="K463" t="str">
        <f>"Quebec"</f>
        <v>Quebec</v>
      </c>
      <c r="N463" t="s">
        <v>376</v>
      </c>
    </row>
    <row r="464" spans="1:14" hidden="1" x14ac:dyDescent="0.25">
      <c r="A464" t="str">
        <f>"Vincent"</f>
        <v>Vincent</v>
      </c>
      <c r="B464" t="str">
        <f>"Marticotte"</f>
        <v>Marticotte</v>
      </c>
      <c r="C464" t="str">
        <f>"Shidokan"</f>
        <v>Shidokan</v>
      </c>
      <c r="D464" t="str">
        <f>"M"</f>
        <v>M</v>
      </c>
      <c r="E464" t="s">
        <v>233</v>
      </c>
      <c r="F464" t="s">
        <v>316</v>
      </c>
      <c r="G464" t="str">
        <f>"Ne-waza"</f>
        <v>Ne-waza</v>
      </c>
      <c r="H464" t="str">
        <f>"-81"</f>
        <v>-81</v>
      </c>
      <c r="I464" t="str">
        <f>"0088564"</f>
        <v>0088564</v>
      </c>
      <c r="J464" t="str">
        <f>"Yes"</f>
        <v>Yes</v>
      </c>
      <c r="K464" t="str">
        <f>"Quebec"</f>
        <v>Quebec</v>
      </c>
    </row>
    <row r="465" spans="1:14" hidden="1" x14ac:dyDescent="0.25">
      <c r="A465" t="str">
        <f>"William"</f>
        <v>William</v>
      </c>
      <c r="B465" t="str">
        <f>"Hardy-Abeloos"</f>
        <v>Hardy-Abeloos</v>
      </c>
      <c r="C465" t="str">
        <f>"Kiseki Judo"</f>
        <v>Kiseki Judo</v>
      </c>
      <c r="D465" t="str">
        <f>"M"</f>
        <v>M</v>
      </c>
      <c r="E465" t="s">
        <v>195</v>
      </c>
      <c r="F465" t="s">
        <v>30</v>
      </c>
      <c r="G465" t="str">
        <f>"Senior A"</f>
        <v>Senior A</v>
      </c>
      <c r="H465" s="1" t="str">
        <f>"-73"</f>
        <v>-73</v>
      </c>
      <c r="I465" t="str">
        <f>"0227413"</f>
        <v>0227413</v>
      </c>
      <c r="J465" t="str">
        <f>"Yes"</f>
        <v>Yes</v>
      </c>
      <c r="K465" t="str">
        <f>"Quebec"</f>
        <v>Quebec</v>
      </c>
      <c r="N465" t="s">
        <v>375</v>
      </c>
    </row>
    <row r="466" spans="1:14" hidden="1" x14ac:dyDescent="0.25">
      <c r="A466" t="str">
        <f>"Jethro"</f>
        <v>Jethro</v>
      </c>
      <c r="B466" t="str">
        <f>"Sanz-Robinson"</f>
        <v>Sanz-Robinson</v>
      </c>
      <c r="C466" t="str">
        <f>"Shidokan"</f>
        <v>Shidokan</v>
      </c>
      <c r="D466" t="str">
        <f>"M"</f>
        <v>M</v>
      </c>
      <c r="E466" t="s">
        <v>306</v>
      </c>
      <c r="F466" t="s">
        <v>18</v>
      </c>
      <c r="G466" t="s">
        <v>72</v>
      </c>
      <c r="H466" t="str">
        <f>"-73"</f>
        <v>-73</v>
      </c>
      <c r="I466" t="str">
        <f>"0179896"</f>
        <v>0179896</v>
      </c>
      <c r="J466" t="str">
        <f>"Yes"</f>
        <v>Yes</v>
      </c>
      <c r="K466" t="str">
        <f>"Quebec"</f>
        <v>Quebec</v>
      </c>
      <c r="M466" t="str">
        <f>"2 divisions : U21/Senior B + Ne-waza"</f>
        <v>2 divisions : U21/Senior B + Ne-waza</v>
      </c>
      <c r="N466" t="s">
        <v>349</v>
      </c>
    </row>
    <row r="467" spans="1:14" hidden="1" x14ac:dyDescent="0.25">
      <c r="A467" t="str">
        <f>"Audrey-Ann"</f>
        <v>Audrey-Ann</v>
      </c>
      <c r="B467" t="str">
        <f>"Turcotte"</f>
        <v>Turcotte</v>
      </c>
      <c r="C467" t="str">
        <f>"Sept-Iles"</f>
        <v>Sept-Iles</v>
      </c>
      <c r="D467" t="str">
        <f>"F"</f>
        <v>F</v>
      </c>
      <c r="E467" t="s">
        <v>14</v>
      </c>
      <c r="F467" t="s">
        <v>39</v>
      </c>
      <c r="G467" t="str">
        <f>"U14"</f>
        <v>U14</v>
      </c>
      <c r="H467" t="str">
        <f>"-52"</f>
        <v>-52</v>
      </c>
      <c r="I467" t="str">
        <f>"0174364"</f>
        <v>0174364</v>
      </c>
      <c r="J467" t="str">
        <f>"Yes"</f>
        <v>Yes</v>
      </c>
      <c r="K467" t="str">
        <f>"Quebec"</f>
        <v>Quebec</v>
      </c>
      <c r="N467" t="s">
        <v>293</v>
      </c>
    </row>
    <row r="468" spans="1:14" hidden="1" x14ac:dyDescent="0.25">
      <c r="A468" t="str">
        <f>"Frederique"</f>
        <v>Frederique</v>
      </c>
      <c r="B468" t="str">
        <f>"Jobin"</f>
        <v>Jobin</v>
      </c>
      <c r="C468" t="str">
        <f>"Judokas Jonquière"</f>
        <v>Judokas Jonquière</v>
      </c>
      <c r="D468" t="str">
        <f>"F"</f>
        <v>F</v>
      </c>
      <c r="E468" t="s">
        <v>14</v>
      </c>
      <c r="F468" t="s">
        <v>37</v>
      </c>
      <c r="G468" t="str">
        <f>"U14"</f>
        <v>U14</v>
      </c>
      <c r="H468" t="str">
        <f>"-44"</f>
        <v>-44</v>
      </c>
      <c r="I468" t="str">
        <f>"0207227"</f>
        <v>0207227</v>
      </c>
      <c r="J468" t="str">
        <f>"Yes"</f>
        <v>Yes</v>
      </c>
      <c r="K468" t="str">
        <f>"Quebec"</f>
        <v>Quebec</v>
      </c>
      <c r="N468" t="s">
        <v>327</v>
      </c>
    </row>
    <row r="469" spans="1:14" x14ac:dyDescent="0.25">
      <c r="A469" t="str">
        <f>"Juliette"</f>
        <v>Juliette</v>
      </c>
      <c r="B469" t="str">
        <f>"Mireault"</f>
        <v>Mireault</v>
      </c>
      <c r="C469" t="str">
        <f>"Torakai"</f>
        <v>Torakai</v>
      </c>
      <c r="D469" t="str">
        <f>"F"</f>
        <v>F</v>
      </c>
      <c r="E469" t="s">
        <v>17</v>
      </c>
      <c r="F469" t="s">
        <v>18</v>
      </c>
      <c r="G469" t="str">
        <f>"U18"</f>
        <v>U18</v>
      </c>
      <c r="H469" t="str">
        <f>"-57"</f>
        <v>-57</v>
      </c>
      <c r="I469" t="str">
        <f>"0221549"</f>
        <v>0221549</v>
      </c>
      <c r="J469" t="str">
        <f>"Yes"</f>
        <v>Yes</v>
      </c>
      <c r="K469" t="str">
        <f>"Quebec"</f>
        <v>Quebec</v>
      </c>
      <c r="M469" t="str">
        <f>""</f>
        <v/>
      </c>
      <c r="N469" t="s">
        <v>345</v>
      </c>
    </row>
    <row r="470" spans="1:14" hidden="1" x14ac:dyDescent="0.25">
      <c r="A470" t="str">
        <f>"Isaac"</f>
        <v>Isaac</v>
      </c>
      <c r="B470" t="str">
        <f>"Roy"</f>
        <v>Roy</v>
      </c>
      <c r="C470" t="str">
        <f>"Asbestos-Danville"</f>
        <v>Asbestos-Danville</v>
      </c>
      <c r="D470" t="str">
        <f>"M"</f>
        <v>M</v>
      </c>
      <c r="E470" t="s">
        <v>38</v>
      </c>
      <c r="F470" t="s">
        <v>33</v>
      </c>
      <c r="G470" t="str">
        <f>"U14"</f>
        <v>U14</v>
      </c>
      <c r="H470" t="str">
        <f>"-42"</f>
        <v>-42</v>
      </c>
      <c r="I470" t="str">
        <f>"0182687"</f>
        <v>0182687</v>
      </c>
      <c r="J470" t="str">
        <f>"Yes"</f>
        <v>Yes</v>
      </c>
      <c r="K470" t="str">
        <f>"Quebec"</f>
        <v>Quebec</v>
      </c>
      <c r="M470" t="str">
        <f>""</f>
        <v/>
      </c>
      <c r="N470" t="s">
        <v>344</v>
      </c>
    </row>
    <row r="471" spans="1:14" hidden="1" x14ac:dyDescent="0.25">
      <c r="A471" t="str">
        <f>"Joeree"</f>
        <v>Joeree</v>
      </c>
      <c r="B471" t="str">
        <f>"Sasana"</f>
        <v>Sasana</v>
      </c>
      <c r="C471" t="str">
        <f>"Budokan Saint-Laurent"</f>
        <v>Budokan Saint-Laurent</v>
      </c>
      <c r="D471" t="str">
        <f>"M"</f>
        <v>M</v>
      </c>
      <c r="E471" t="s">
        <v>14</v>
      </c>
      <c r="F471" t="s">
        <v>64</v>
      </c>
      <c r="G471" t="str">
        <f>"U14"</f>
        <v>U14</v>
      </c>
      <c r="H471" t="str">
        <f>"-42"</f>
        <v>-42</v>
      </c>
      <c r="I471" t="str">
        <f>"0211963"</f>
        <v>0211963</v>
      </c>
      <c r="J471" t="str">
        <f>"Yes"</f>
        <v>Yes</v>
      </c>
      <c r="K471" t="str">
        <f>"Quebec"</f>
        <v>Quebec</v>
      </c>
      <c r="N471" t="s">
        <v>344</v>
      </c>
    </row>
    <row r="472" spans="1:14" hidden="1" x14ac:dyDescent="0.25">
      <c r="A472" t="str">
        <f>"Damien"</f>
        <v>Damien</v>
      </c>
      <c r="B472" t="str">
        <f>"Follain"</f>
        <v>Follain</v>
      </c>
      <c r="C472" t="str">
        <f>"Blainville"</f>
        <v>Blainville</v>
      </c>
      <c r="D472" t="str">
        <f>"M"</f>
        <v>M</v>
      </c>
      <c r="E472" t="s">
        <v>24</v>
      </c>
      <c r="F472" t="s">
        <v>39</v>
      </c>
      <c r="G472" t="str">
        <f>"U16"</f>
        <v>U16</v>
      </c>
      <c r="H472" t="str">
        <f>"-60"</f>
        <v>-60</v>
      </c>
      <c r="I472" t="str">
        <f>"0206648"</f>
        <v>0206648</v>
      </c>
      <c r="J472" t="str">
        <f>"Yes"</f>
        <v>Yes</v>
      </c>
      <c r="K472" t="str">
        <f>"Quebec"</f>
        <v>Quebec</v>
      </c>
      <c r="N472" t="s">
        <v>376</v>
      </c>
    </row>
    <row r="473" spans="1:14" x14ac:dyDescent="0.25">
      <c r="A473" t="str">
        <f>"Philippe"</f>
        <v>Philippe</v>
      </c>
      <c r="B473" t="str">
        <f>"Thibodeau"</f>
        <v>Thibodeau</v>
      </c>
      <c r="C473" t="str">
        <f>"Blainville"</f>
        <v>Blainville</v>
      </c>
      <c r="D473" t="str">
        <f>"M"</f>
        <v>M</v>
      </c>
      <c r="E473" t="s">
        <v>27</v>
      </c>
      <c r="F473" t="s">
        <v>18</v>
      </c>
      <c r="G473" t="str">
        <f>"U18"</f>
        <v>U18</v>
      </c>
      <c r="H473" t="str">
        <f>"-66"</f>
        <v>-66</v>
      </c>
      <c r="I473" t="str">
        <f>"0158906"</f>
        <v>0158906</v>
      </c>
      <c r="J473" t="str">
        <f>"Yes"</f>
        <v>Yes</v>
      </c>
      <c r="K473" t="str">
        <f>"Quebec"</f>
        <v>Quebec</v>
      </c>
      <c r="M473" t="str">
        <f>""</f>
        <v/>
      </c>
      <c r="N473" t="s">
        <v>295</v>
      </c>
    </row>
    <row r="474" spans="1:14" hidden="1" x14ac:dyDescent="0.25">
      <c r="A474" t="s">
        <v>385</v>
      </c>
      <c r="B474" t="s">
        <v>386</v>
      </c>
      <c r="C474" t="s">
        <v>387</v>
      </c>
      <c r="D474" t="s">
        <v>52</v>
      </c>
      <c r="E474" t="s">
        <v>71</v>
      </c>
      <c r="F474" t="s">
        <v>30</v>
      </c>
      <c r="G474" t="s">
        <v>85</v>
      </c>
      <c r="H474" s="1">
        <v>-73</v>
      </c>
      <c r="I474" t="s">
        <v>388</v>
      </c>
      <c r="J474" t="s">
        <v>46</v>
      </c>
      <c r="K474" t="s">
        <v>47</v>
      </c>
      <c r="M474" t="s">
        <v>157</v>
      </c>
      <c r="N474" t="s">
        <v>375</v>
      </c>
    </row>
    <row r="475" spans="1:14" hidden="1" x14ac:dyDescent="0.25">
      <c r="A475" t="str">
        <f>"Roi De Salem"</f>
        <v>Roi De Salem</v>
      </c>
      <c r="B475" t="str">
        <f>"Thama Tchiss"</f>
        <v>Thama Tchiss</v>
      </c>
      <c r="C475" t="str">
        <f>"Olympique"</f>
        <v>Olympique</v>
      </c>
      <c r="D475" t="str">
        <f>"M"</f>
        <v>M</v>
      </c>
      <c r="E475" t="s">
        <v>38</v>
      </c>
      <c r="F475" t="s">
        <v>64</v>
      </c>
      <c r="G475" t="str">
        <f>"U14"</f>
        <v>U14</v>
      </c>
      <c r="H475" t="str">
        <f>"-42"</f>
        <v>-42</v>
      </c>
      <c r="I475" t="str">
        <f>"0202925"</f>
        <v>0202925</v>
      </c>
      <c r="J475" t="str">
        <f>"Yes"</f>
        <v>Yes</v>
      </c>
      <c r="K475" t="str">
        <f>"Quebec"</f>
        <v>Quebec</v>
      </c>
      <c r="N475" t="s">
        <v>344</v>
      </c>
    </row>
    <row r="476" spans="1:14" hidden="1" x14ac:dyDescent="0.25">
      <c r="A476" t="str">
        <f>"Marco"</f>
        <v>Marco</v>
      </c>
      <c r="B476" t="str">
        <f>"Hamel"</f>
        <v>Hamel</v>
      </c>
      <c r="C476" t="str">
        <f>"CJVR"</f>
        <v>CJVR</v>
      </c>
      <c r="D476" t="str">
        <f>"M"</f>
        <v>M</v>
      </c>
      <c r="E476" t="s">
        <v>24</v>
      </c>
      <c r="F476" t="s">
        <v>39</v>
      </c>
      <c r="G476" t="str">
        <f>"U16"</f>
        <v>U16</v>
      </c>
      <c r="H476" t="str">
        <f>"-60"</f>
        <v>-60</v>
      </c>
      <c r="I476" t="str">
        <f>"0177320"</f>
        <v>0177320</v>
      </c>
      <c r="J476" t="str">
        <f>"Yes"</f>
        <v>Yes</v>
      </c>
      <c r="K476" t="str">
        <f>"Quebec"</f>
        <v>Quebec</v>
      </c>
      <c r="N476" t="s">
        <v>376</v>
      </c>
    </row>
    <row r="477" spans="1:14" x14ac:dyDescent="0.25">
      <c r="A477" t="str">
        <f>"Jacob"</f>
        <v>Jacob</v>
      </c>
      <c r="B477" t="str">
        <f>"Trudel"</f>
        <v>Trudel</v>
      </c>
      <c r="C477" t="s">
        <v>81</v>
      </c>
      <c r="D477" t="str">
        <f>"M"</f>
        <v>M</v>
      </c>
      <c r="E477" t="s">
        <v>17</v>
      </c>
      <c r="F477" t="s">
        <v>18</v>
      </c>
      <c r="G477" t="s">
        <v>25</v>
      </c>
      <c r="H477" t="str">
        <f>"-66"</f>
        <v>-66</v>
      </c>
      <c r="I477" t="str">
        <f>"0152930"</f>
        <v>0152930</v>
      </c>
      <c r="J477" t="str">
        <f>"Yes"</f>
        <v>Yes</v>
      </c>
      <c r="K477" t="str">
        <f>"Quebec"</f>
        <v>Quebec</v>
      </c>
      <c r="M477" t="str">
        <f>"2 divisions : U18 + U21/Sénior B"</f>
        <v>2 divisions : U18 + U21/Sénior B</v>
      </c>
      <c r="N477" t="s">
        <v>295</v>
      </c>
    </row>
    <row r="478" spans="1:14" hidden="1" x14ac:dyDescent="0.25">
      <c r="A478" t="str">
        <f>"Jacob"</f>
        <v>Jacob</v>
      </c>
      <c r="B478" t="str">
        <f>"Lafrance"</f>
        <v>Lafrance</v>
      </c>
      <c r="C478" t="str">
        <f>"Perrot Shima"</f>
        <v>Perrot Shima</v>
      </c>
      <c r="D478" t="str">
        <f>"M"</f>
        <v>M</v>
      </c>
      <c r="E478" t="s">
        <v>24</v>
      </c>
      <c r="F478" t="s">
        <v>18</v>
      </c>
      <c r="G478" t="str">
        <f>"U16"</f>
        <v>U16</v>
      </c>
      <c r="H478" t="str">
        <f>"-60"</f>
        <v>-60</v>
      </c>
      <c r="I478" t="str">
        <f>"0184797"</f>
        <v>0184797</v>
      </c>
      <c r="J478" t="str">
        <f>"Yes"</f>
        <v>Yes</v>
      </c>
      <c r="K478" t="str">
        <f>"Quebec"</f>
        <v>Quebec</v>
      </c>
      <c r="N478" t="s">
        <v>376</v>
      </c>
    </row>
    <row r="479" spans="1:14" hidden="1" x14ac:dyDescent="0.25">
      <c r="A479" t="str">
        <f>"Philippe-Abel"</f>
        <v>Philippe-Abel</v>
      </c>
      <c r="B479" t="str">
        <f>"Metellus"</f>
        <v>Metellus</v>
      </c>
      <c r="C479" t="str">
        <f>"Kiseki Judo"</f>
        <v>Kiseki Judo</v>
      </c>
      <c r="D479" t="str">
        <f>"M"</f>
        <v>M</v>
      </c>
      <c r="E479" t="s">
        <v>84</v>
      </c>
      <c r="F479" t="s">
        <v>30</v>
      </c>
      <c r="G479" t="str">
        <f>"Senior A"</f>
        <v>Senior A</v>
      </c>
      <c r="H479" t="str">
        <f>"-73"</f>
        <v>-73</v>
      </c>
      <c r="I479" t="str">
        <f>"0155280"</f>
        <v>0155280</v>
      </c>
      <c r="J479" t="str">
        <f>"Yes"</f>
        <v>Yes</v>
      </c>
      <c r="K479" t="str">
        <f>"Quebec"</f>
        <v>Quebec</v>
      </c>
      <c r="N479" t="s">
        <v>375</v>
      </c>
    </row>
    <row r="480" spans="1:14" hidden="1" x14ac:dyDescent="0.25">
      <c r="A480" t="str">
        <f>"Jasmine"</f>
        <v>Jasmine</v>
      </c>
      <c r="B480" t="str">
        <f>"Pitsilis"</f>
        <v>Pitsilis</v>
      </c>
      <c r="C480" t="str">
        <f>"Kiseki Judo"</f>
        <v>Kiseki Judo</v>
      </c>
      <c r="D480" t="str">
        <f>"F"</f>
        <v>F</v>
      </c>
      <c r="E480" t="s">
        <v>207</v>
      </c>
      <c r="F480" t="s">
        <v>30</v>
      </c>
      <c r="G480" t="str">
        <f>"Senior A"</f>
        <v>Senior A</v>
      </c>
      <c r="H480" t="str">
        <f>"-63"</f>
        <v>-63</v>
      </c>
      <c r="I480" t="str">
        <f>"0094096"</f>
        <v>0094096</v>
      </c>
      <c r="J480" t="str">
        <f>"Yes"</f>
        <v>Yes</v>
      </c>
      <c r="K480" t="str">
        <f>"Quebec"</f>
        <v>Quebec</v>
      </c>
      <c r="N480" t="s">
        <v>389</v>
      </c>
    </row>
    <row r="481" spans="1:14" hidden="1" x14ac:dyDescent="0.25">
      <c r="A481" t="str">
        <f>"Anne-Clara"</f>
        <v>Anne-Clara</v>
      </c>
      <c r="B481" t="str">
        <f>"Guérin"</f>
        <v>Guérin</v>
      </c>
      <c r="C481" t="str">
        <f>"Judokas Jonquière"</f>
        <v>Judokas Jonquière</v>
      </c>
      <c r="D481" t="str">
        <f>"F"</f>
        <v>F</v>
      </c>
      <c r="E481" t="s">
        <v>71</v>
      </c>
      <c r="F481" t="s">
        <v>30</v>
      </c>
      <c r="G481" t="str">
        <f>"U21/Senior B"</f>
        <v>U21/Senior B</v>
      </c>
      <c r="H481" t="str">
        <f>"-63"</f>
        <v>-63</v>
      </c>
      <c r="I481" t="str">
        <f>"0148201"</f>
        <v>0148201</v>
      </c>
      <c r="J481" t="str">
        <f>"Yes"</f>
        <v>Yes</v>
      </c>
      <c r="K481" t="str">
        <f>"Quebec"</f>
        <v>Quebec</v>
      </c>
      <c r="N481" t="s">
        <v>382</v>
      </c>
    </row>
    <row r="482" spans="1:14" hidden="1" x14ac:dyDescent="0.25">
      <c r="A482" t="str">
        <f>"Leah"</f>
        <v>Leah</v>
      </c>
      <c r="B482" t="str">
        <f>"Michaud"</f>
        <v>Michaud</v>
      </c>
      <c r="C482" t="str">
        <f>"Judo Beauce"</f>
        <v>Judo Beauce</v>
      </c>
      <c r="D482" t="str">
        <f>"F"</f>
        <v>F</v>
      </c>
      <c r="E482" t="s">
        <v>21</v>
      </c>
      <c r="F482" t="s">
        <v>64</v>
      </c>
      <c r="G482" t="str">
        <f>"U12"</f>
        <v>U12</v>
      </c>
      <c r="H482" t="str">
        <f>"-42"</f>
        <v>-42</v>
      </c>
      <c r="I482" t="str">
        <f>"0218654"</f>
        <v>0218654</v>
      </c>
      <c r="J482" t="str">
        <f>"Yes"</f>
        <v>Yes</v>
      </c>
      <c r="K482" t="str">
        <f>"Quebec"</f>
        <v>Quebec</v>
      </c>
      <c r="N482" t="s">
        <v>91</v>
      </c>
    </row>
    <row r="483" spans="1:14" x14ac:dyDescent="0.25">
      <c r="A483" t="str">
        <f>"Mathias"</f>
        <v>Mathias</v>
      </c>
      <c r="B483" t="str">
        <f>"Trudel"</f>
        <v>Trudel</v>
      </c>
      <c r="C483" t="str">
        <f>"Judokan Port Cartier"</f>
        <v>Judokan Port Cartier</v>
      </c>
      <c r="D483" t="str">
        <f>"M"</f>
        <v>M</v>
      </c>
      <c r="E483" t="s">
        <v>27</v>
      </c>
      <c r="F483" t="s">
        <v>18</v>
      </c>
      <c r="G483" t="str">
        <f>"U18"</f>
        <v>U18</v>
      </c>
      <c r="H483" t="str">
        <f>"-66"</f>
        <v>-66</v>
      </c>
      <c r="I483" t="str">
        <f>"0152768"</f>
        <v>0152768</v>
      </c>
      <c r="J483" t="str">
        <f>"Yes"</f>
        <v>Yes</v>
      </c>
      <c r="K483" t="str">
        <f>"Quebec"</f>
        <v>Quebec</v>
      </c>
      <c r="N483" t="s">
        <v>295</v>
      </c>
    </row>
    <row r="484" spans="1:14" hidden="1" x14ac:dyDescent="0.25">
      <c r="A484" t="str">
        <f>"Audrick"</f>
        <v>Audrick</v>
      </c>
      <c r="B484" t="str">
        <f>"Miersch-Tremblay"</f>
        <v>Miersch-Tremblay</v>
      </c>
      <c r="C484" t="str">
        <f>"Métropolitain"</f>
        <v>Métropolitain</v>
      </c>
      <c r="D484" t="str">
        <f>"M"</f>
        <v>M</v>
      </c>
      <c r="E484" t="s">
        <v>21</v>
      </c>
      <c r="F484" t="s">
        <v>37</v>
      </c>
      <c r="G484" t="str">
        <f>"U12"</f>
        <v>U12</v>
      </c>
      <c r="H484" t="str">
        <f>"-42"</f>
        <v>-42</v>
      </c>
      <c r="I484" t="str">
        <f>"0223698"</f>
        <v>0223698</v>
      </c>
      <c r="J484" t="str">
        <f>"Yes"</f>
        <v>Yes</v>
      </c>
      <c r="K484" t="str">
        <f>"Quebec"</f>
        <v>Quebec</v>
      </c>
      <c r="M484" t="str">
        <f>""</f>
        <v/>
      </c>
      <c r="N484" t="s">
        <v>23</v>
      </c>
    </row>
    <row r="485" spans="1:14" hidden="1" x14ac:dyDescent="0.25">
      <c r="A485" t="str">
        <f>"Elyes"</f>
        <v>Elyes</v>
      </c>
      <c r="B485" t="str">
        <f>"Miled"</f>
        <v>Miled</v>
      </c>
      <c r="C485" t="str">
        <f>"Olympique"</f>
        <v>Olympique</v>
      </c>
      <c r="D485" t="str">
        <f>"M"</f>
        <v>M</v>
      </c>
      <c r="E485" t="s">
        <v>21</v>
      </c>
      <c r="F485" t="s">
        <v>22</v>
      </c>
      <c r="G485" t="str">
        <f>"U12"</f>
        <v>U12</v>
      </c>
      <c r="H485" t="str">
        <f>"-36"</f>
        <v>-36</v>
      </c>
      <c r="I485" t="str">
        <f>"0239628"</f>
        <v>0239628</v>
      </c>
      <c r="J485" t="str">
        <f>"Yes"</f>
        <v>Yes</v>
      </c>
      <c r="K485" t="str">
        <f>"Quebec"</f>
        <v>Quebec</v>
      </c>
      <c r="N485" t="s">
        <v>23</v>
      </c>
    </row>
    <row r="486" spans="1:14" hidden="1" x14ac:dyDescent="0.25">
      <c r="A486" t="str">
        <f>"Thibault"</f>
        <v>Thibault</v>
      </c>
      <c r="B486" t="str">
        <f>"Verdier"</f>
        <v>Verdier</v>
      </c>
      <c r="C486" t="str">
        <f>"Zenshin"</f>
        <v>Zenshin</v>
      </c>
      <c r="D486" t="str">
        <f>"M"</f>
        <v>M</v>
      </c>
      <c r="E486" t="s">
        <v>38</v>
      </c>
      <c r="F486" t="s">
        <v>64</v>
      </c>
      <c r="G486" t="str">
        <f>"U14"</f>
        <v>U14</v>
      </c>
      <c r="H486" t="str">
        <f>"-42"</f>
        <v>-42</v>
      </c>
      <c r="I486" t="str">
        <f>"0215772"</f>
        <v>0215772</v>
      </c>
      <c r="J486" t="str">
        <f>"Yes"</f>
        <v>Yes</v>
      </c>
      <c r="K486" t="str">
        <f>"Quebec"</f>
        <v>Quebec</v>
      </c>
      <c r="M486" t="str">
        <f>""</f>
        <v/>
      </c>
      <c r="N486" t="s">
        <v>344</v>
      </c>
    </row>
    <row r="487" spans="1:14" hidden="1" x14ac:dyDescent="0.25">
      <c r="A487" t="str">
        <f>"Dominic"</f>
        <v>Dominic</v>
      </c>
      <c r="B487" t="str">
        <f>"Toupin"</f>
        <v>Toupin</v>
      </c>
      <c r="C487" t="str">
        <f>"Lévis"</f>
        <v>Lévis</v>
      </c>
      <c r="D487" t="str">
        <f>"M"</f>
        <v>M</v>
      </c>
      <c r="E487" t="s">
        <v>390</v>
      </c>
      <c r="F487" t="s">
        <v>30</v>
      </c>
      <c r="G487" t="s">
        <v>391</v>
      </c>
      <c r="H487" t="str">
        <f>"-81"</f>
        <v>-81</v>
      </c>
      <c r="I487" t="str">
        <f>"0168496"</f>
        <v>0168496</v>
      </c>
      <c r="J487" t="str">
        <f>"Yes"</f>
        <v>Yes</v>
      </c>
      <c r="K487" t="str">
        <f>"Quebec"</f>
        <v>Quebec</v>
      </c>
      <c r="M487" t="str">
        <f>"2 divisions : Master + Ne-waza"</f>
        <v>2 divisions : Master + Ne-waza</v>
      </c>
      <c r="N487" t="s">
        <v>330</v>
      </c>
    </row>
    <row r="488" spans="1:14" hidden="1" x14ac:dyDescent="0.25">
      <c r="A488" t="str">
        <f>"Louis Philipp"</f>
        <v>Louis Philipp</v>
      </c>
      <c r="B488" t="str">
        <f>"Otis"</f>
        <v>Otis</v>
      </c>
      <c r="C488" t="s">
        <v>92</v>
      </c>
      <c r="D488" t="str">
        <f>"M"</f>
        <v>M</v>
      </c>
      <c r="E488" t="s">
        <v>109</v>
      </c>
      <c r="F488" t="s">
        <v>37</v>
      </c>
      <c r="G488" t="str">
        <f>"U21/Senior Mudansha"</f>
        <v>U21/Senior Mudansha</v>
      </c>
      <c r="H488" t="str">
        <f>"-81"</f>
        <v>-81</v>
      </c>
      <c r="I488" t="str">
        <f>"0410742"</f>
        <v>0410742</v>
      </c>
      <c r="J488" t="str">
        <f>"Yes"</f>
        <v>Yes</v>
      </c>
      <c r="K488" t="str">
        <f>"Quebec"</f>
        <v>Quebec</v>
      </c>
      <c r="N488" t="s">
        <v>357</v>
      </c>
    </row>
    <row r="489" spans="1:14" hidden="1" x14ac:dyDescent="0.25">
      <c r="A489" t="str">
        <f>"Philippe"</f>
        <v>Philippe</v>
      </c>
      <c r="B489" t="str">
        <f>"Minville"</f>
        <v>Minville</v>
      </c>
      <c r="C489" t="str">
        <f>"Institut Judo Chicoutimi"</f>
        <v>Institut Judo Chicoutimi</v>
      </c>
      <c r="D489" t="str">
        <f>"M"</f>
        <v>M</v>
      </c>
      <c r="E489" t="s">
        <v>21</v>
      </c>
      <c r="F489" t="s">
        <v>39</v>
      </c>
      <c r="G489" t="str">
        <f>"U12"</f>
        <v>U12</v>
      </c>
      <c r="H489" t="str">
        <f>"-30"</f>
        <v>-30</v>
      </c>
      <c r="I489" t="str">
        <f>"0198487"</f>
        <v>0198487</v>
      </c>
      <c r="J489" t="str">
        <f>"Yes"</f>
        <v>Yes</v>
      </c>
      <c r="K489" t="str">
        <f>"Quebec"</f>
        <v>Quebec</v>
      </c>
      <c r="M489" t="str">
        <f>""</f>
        <v/>
      </c>
      <c r="N489" t="s">
        <v>23</v>
      </c>
    </row>
    <row r="490" spans="1:14" hidden="1" x14ac:dyDescent="0.25">
      <c r="A490" t="str">
        <f>"Olivier"</f>
        <v>Olivier</v>
      </c>
      <c r="B490" t="str">
        <f>"Legault"</f>
        <v>Legault</v>
      </c>
      <c r="C490" t="str">
        <f>"Olympique"</f>
        <v>Olympique</v>
      </c>
      <c r="D490" t="str">
        <f>"M"</f>
        <v>M</v>
      </c>
      <c r="E490" t="s">
        <v>24</v>
      </c>
      <c r="F490" t="s">
        <v>18</v>
      </c>
      <c r="G490" t="s">
        <v>151</v>
      </c>
      <c r="H490" t="str">
        <f>"-60"</f>
        <v>-60</v>
      </c>
      <c r="I490" t="str">
        <f>"0189014"</f>
        <v>0189014</v>
      </c>
      <c r="J490" t="str">
        <f>"Yes"</f>
        <v>Yes</v>
      </c>
      <c r="K490" t="str">
        <f>"Quebec"</f>
        <v>Quebec</v>
      </c>
      <c r="M490" t="str">
        <f>"2 divisions : U16 + U18"</f>
        <v>2 divisions : U16 + U18</v>
      </c>
      <c r="N490" t="s">
        <v>376</v>
      </c>
    </row>
    <row r="491" spans="1:14" x14ac:dyDescent="0.25">
      <c r="A491" t="str">
        <f>"Chloé"</f>
        <v>Chloé</v>
      </c>
      <c r="B491" t="str">
        <f>"Noël"</f>
        <v>Noël</v>
      </c>
      <c r="C491" t="str">
        <f>"Seïkidokan"</f>
        <v>Seïkidokan</v>
      </c>
      <c r="D491" t="str">
        <f>"F"</f>
        <v>F</v>
      </c>
      <c r="E491" t="s">
        <v>17</v>
      </c>
      <c r="F491" t="s">
        <v>64</v>
      </c>
      <c r="G491" t="str">
        <f>"U18"</f>
        <v>U18</v>
      </c>
      <c r="H491" t="str">
        <f>"-57"</f>
        <v>-57</v>
      </c>
      <c r="I491" t="str">
        <f>"0145116"</f>
        <v>0145116</v>
      </c>
      <c r="J491" t="str">
        <f>"Yes"</f>
        <v>Yes</v>
      </c>
      <c r="K491" t="str">
        <f>"Quebec"</f>
        <v>Quebec</v>
      </c>
      <c r="M491" t="str">
        <f>""</f>
        <v/>
      </c>
      <c r="N491" t="s">
        <v>345</v>
      </c>
    </row>
    <row r="492" spans="1:14" hidden="1" x14ac:dyDescent="0.25">
      <c r="A492" t="str">
        <f>"Justin"</f>
        <v>Justin</v>
      </c>
      <c r="B492" t="str">
        <f>"Miron"</f>
        <v>Miron</v>
      </c>
      <c r="C492" t="str">
        <f>"Shawinigan"</f>
        <v>Shawinigan</v>
      </c>
      <c r="D492" t="str">
        <f>"M"</f>
        <v>M</v>
      </c>
      <c r="E492" t="s">
        <v>60</v>
      </c>
      <c r="F492" t="s">
        <v>15</v>
      </c>
      <c r="G492" t="str">
        <f>"U12"</f>
        <v>U12</v>
      </c>
      <c r="H492" t="str">
        <f>"-49"</f>
        <v>-49</v>
      </c>
      <c r="I492" t="str">
        <f>"0232052"</f>
        <v>0232052</v>
      </c>
      <c r="J492" t="str">
        <f>"Yes"</f>
        <v>Yes</v>
      </c>
      <c r="K492" t="str">
        <f>"Quebec"</f>
        <v>Quebec</v>
      </c>
      <c r="N492" t="s">
        <v>23</v>
      </c>
    </row>
    <row r="493" spans="1:14" hidden="1" x14ac:dyDescent="0.25">
      <c r="A493" t="str">
        <f>"Nayla"</f>
        <v>Nayla</v>
      </c>
      <c r="B493" t="str">
        <f>"Ouali"</f>
        <v>Ouali</v>
      </c>
      <c r="C493" t="str">
        <f>"St-Leonard"</f>
        <v>St-Leonard</v>
      </c>
      <c r="D493" t="str">
        <f>"F"</f>
        <v>F</v>
      </c>
      <c r="E493" t="s">
        <v>14</v>
      </c>
      <c r="F493" t="s">
        <v>90</v>
      </c>
      <c r="G493" t="str">
        <f>"U14"</f>
        <v>U14</v>
      </c>
      <c r="H493" t="str">
        <f>"-44"</f>
        <v>-44</v>
      </c>
      <c r="I493" t="str">
        <f>"0189596"</f>
        <v>0189596</v>
      </c>
      <c r="J493" t="str">
        <f>"Yes"</f>
        <v>Yes</v>
      </c>
      <c r="K493" t="str">
        <f>"Quebec"</f>
        <v>Quebec</v>
      </c>
      <c r="M493" t="str">
        <f>""</f>
        <v/>
      </c>
      <c r="N493" t="s">
        <v>327</v>
      </c>
    </row>
    <row r="494" spans="1:14" hidden="1" x14ac:dyDescent="0.25">
      <c r="A494" t="str">
        <f>"Camylle"</f>
        <v>Camylle</v>
      </c>
      <c r="B494" t="str">
        <f>"Parent"</f>
        <v>Parent</v>
      </c>
      <c r="C494" t="str">
        <f>"Tani "</f>
        <v xml:space="preserve">Tani </v>
      </c>
      <c r="D494" t="str">
        <f>"F"</f>
        <v>F</v>
      </c>
      <c r="E494" t="s">
        <v>32</v>
      </c>
      <c r="F494" t="s">
        <v>37</v>
      </c>
      <c r="G494" t="str">
        <f>"U16"</f>
        <v>U16</v>
      </c>
      <c r="H494" t="str">
        <f>"-36"</f>
        <v>-36</v>
      </c>
      <c r="I494" t="str">
        <f>"0217388"</f>
        <v>0217388</v>
      </c>
      <c r="J494" t="str">
        <f>"Yes"</f>
        <v>Yes</v>
      </c>
      <c r="K494" t="str">
        <f>"Quebec"</f>
        <v>Quebec</v>
      </c>
      <c r="M494" t="s">
        <v>110</v>
      </c>
      <c r="N494" t="s">
        <v>392</v>
      </c>
    </row>
    <row r="495" spans="1:14" hidden="1" x14ac:dyDescent="0.25">
      <c r="A495" t="str">
        <f>"Marc André"</f>
        <v>Marc André</v>
      </c>
      <c r="B495" t="str">
        <f>"Otis"</f>
        <v>Otis</v>
      </c>
      <c r="C495" t="s">
        <v>92</v>
      </c>
      <c r="D495" t="str">
        <f>"M"</f>
        <v>M</v>
      </c>
      <c r="E495" t="s">
        <v>109</v>
      </c>
      <c r="F495" t="s">
        <v>37</v>
      </c>
      <c r="G495" t="str">
        <f>"U21/Senior Mudansha"</f>
        <v>U21/Senior Mudansha</v>
      </c>
      <c r="H495" t="str">
        <f>"-81"</f>
        <v>-81</v>
      </c>
      <c r="I495" t="str">
        <f>"0410741"</f>
        <v>0410741</v>
      </c>
      <c r="J495" t="str">
        <f>"Yes"</f>
        <v>Yes</v>
      </c>
      <c r="K495" t="str">
        <f>"Quebec"</f>
        <v>Quebec</v>
      </c>
      <c r="N495" t="s">
        <v>357</v>
      </c>
    </row>
    <row r="496" spans="1:14" hidden="1" x14ac:dyDescent="0.25">
      <c r="A496" t="str">
        <f>"Noah"</f>
        <v>Noah</v>
      </c>
      <c r="B496" t="str">
        <f>"Moorjani-Houle"</f>
        <v>Moorjani-Houle</v>
      </c>
      <c r="C496" t="str">
        <f>"St-Jean Bosco"</f>
        <v>St-Jean Bosco</v>
      </c>
      <c r="D496" t="str">
        <f>"M"</f>
        <v>M</v>
      </c>
      <c r="E496" t="s">
        <v>24</v>
      </c>
      <c r="F496" t="s">
        <v>39</v>
      </c>
      <c r="G496" t="str">
        <f>"U16"</f>
        <v>U16</v>
      </c>
      <c r="H496" t="str">
        <f>"-60"</f>
        <v>-60</v>
      </c>
      <c r="I496" t="str">
        <f>"0152630"</f>
        <v>0152630</v>
      </c>
      <c r="J496" t="str">
        <f>"Yes"</f>
        <v>Yes</v>
      </c>
      <c r="K496" t="str">
        <f>"Quebec"</f>
        <v>Quebec</v>
      </c>
      <c r="N496" t="s">
        <v>376</v>
      </c>
    </row>
    <row r="497" spans="1:14" hidden="1" x14ac:dyDescent="0.25">
      <c r="A497" t="str">
        <f>"Assous"</f>
        <v>Assous</v>
      </c>
      <c r="B497" t="str">
        <f>"Mohamed Aghiles"</f>
        <v>Mohamed Aghiles</v>
      </c>
      <c r="C497" t="str">
        <f>"St-Leonard"</f>
        <v>St-Leonard</v>
      </c>
      <c r="D497" t="str">
        <f>"M"</f>
        <v>M</v>
      </c>
      <c r="E497" t="s">
        <v>21</v>
      </c>
      <c r="F497" t="s">
        <v>15</v>
      </c>
      <c r="G497" t="str">
        <f>"U12"</f>
        <v>U12</v>
      </c>
      <c r="H497" t="str">
        <f>"-30"</f>
        <v>-30</v>
      </c>
      <c r="I497" t="str">
        <f>"0410444"</f>
        <v>0410444</v>
      </c>
      <c r="J497" t="str">
        <f>"Yes"</f>
        <v>Yes</v>
      </c>
      <c r="K497" t="str">
        <f>"Quebec"</f>
        <v>Quebec</v>
      </c>
      <c r="N497" t="s">
        <v>23</v>
      </c>
    </row>
    <row r="498" spans="1:14" hidden="1" x14ac:dyDescent="0.25">
      <c r="A498" t="str">
        <f>"Emile"</f>
        <v>Emile</v>
      </c>
      <c r="B498" t="str">
        <f>"Toulouse"</f>
        <v>Toulouse</v>
      </c>
      <c r="C498" t="str">
        <f>"Institut Judo Chicoutimi"</f>
        <v>Institut Judo Chicoutimi</v>
      </c>
      <c r="D498" t="str">
        <f>"M"</f>
        <v>M</v>
      </c>
      <c r="E498" t="s">
        <v>32</v>
      </c>
      <c r="F498" t="s">
        <v>37</v>
      </c>
      <c r="G498" t="str">
        <f>"U16"</f>
        <v>U16</v>
      </c>
      <c r="H498" t="str">
        <f>"-55"</f>
        <v>-55</v>
      </c>
      <c r="I498" t="str">
        <f>"0234718"</f>
        <v>0234718</v>
      </c>
      <c r="J498" t="str">
        <f>"Yes"</f>
        <v>Yes</v>
      </c>
      <c r="K498" t="str">
        <f>"Quebec"</f>
        <v>Quebec</v>
      </c>
      <c r="M498" t="str">
        <f>""</f>
        <v/>
      </c>
      <c r="N498" t="s">
        <v>301</v>
      </c>
    </row>
    <row r="499" spans="1:14" hidden="1" x14ac:dyDescent="0.25">
      <c r="A499" t="str">
        <f>"Nathan"</f>
        <v>Nathan</v>
      </c>
      <c r="B499" t="str">
        <f>"Mongrain"</f>
        <v>Mongrain</v>
      </c>
      <c r="C499" t="str">
        <f>"Ghishintaido inc."</f>
        <v>Ghishintaido inc.</v>
      </c>
      <c r="D499" t="str">
        <f>"M"</f>
        <v>M</v>
      </c>
      <c r="E499" t="s">
        <v>21</v>
      </c>
      <c r="F499" t="s">
        <v>22</v>
      </c>
      <c r="G499" t="str">
        <f>"U12"</f>
        <v>U12</v>
      </c>
      <c r="H499" t="str">
        <f>"-30"</f>
        <v>-30</v>
      </c>
      <c r="I499" t="str">
        <f>"0236424"</f>
        <v>0236424</v>
      </c>
      <c r="J499" t="str">
        <f>"Yes"</f>
        <v>Yes</v>
      </c>
      <c r="K499" t="str">
        <f>"Quebec"</f>
        <v>Quebec</v>
      </c>
      <c r="N499" t="s">
        <v>23</v>
      </c>
    </row>
    <row r="500" spans="1:14" hidden="1" x14ac:dyDescent="0.25">
      <c r="A500" t="str">
        <f>"Gibril"</f>
        <v>Gibril</v>
      </c>
      <c r="B500" t="str">
        <f>"Zouaoui"</f>
        <v>Zouaoui</v>
      </c>
      <c r="C500" t="str">
        <f>"Boucherville"</f>
        <v>Boucherville</v>
      </c>
      <c r="D500" t="str">
        <f>"M"</f>
        <v>M</v>
      </c>
      <c r="E500" t="s">
        <v>14</v>
      </c>
      <c r="F500" t="s">
        <v>64</v>
      </c>
      <c r="G500" t="str">
        <f>"U14"</f>
        <v>U14</v>
      </c>
      <c r="H500" t="str">
        <f>"-42"</f>
        <v>-42</v>
      </c>
      <c r="I500" t="str">
        <f>"0189920"</f>
        <v>0189920</v>
      </c>
      <c r="J500" t="str">
        <f>"Yes"</f>
        <v>Yes</v>
      </c>
      <c r="K500" t="str">
        <f>"Quebec"</f>
        <v>Quebec</v>
      </c>
      <c r="N500" t="s">
        <v>344</v>
      </c>
    </row>
    <row r="501" spans="1:14" hidden="1" x14ac:dyDescent="0.25">
      <c r="A501" t="str">
        <f>"Mathias"</f>
        <v>Mathias</v>
      </c>
      <c r="B501" t="str">
        <f>"Perron"</f>
        <v>Perron</v>
      </c>
      <c r="C501" t="str">
        <f>"Métropolitain"</f>
        <v>Métropolitain</v>
      </c>
      <c r="D501" t="str">
        <f>"M"</f>
        <v>M</v>
      </c>
      <c r="E501" t="s">
        <v>32</v>
      </c>
      <c r="F501" t="s">
        <v>64</v>
      </c>
      <c r="G501" t="str">
        <f>"U16"</f>
        <v>U16</v>
      </c>
      <c r="H501" t="str">
        <f>"-60"</f>
        <v>-60</v>
      </c>
      <c r="I501" t="str">
        <f>"0206093"</f>
        <v>0206093</v>
      </c>
      <c r="J501" t="str">
        <f>"Yes"</f>
        <v>Yes</v>
      </c>
      <c r="K501" t="str">
        <f>"Quebec"</f>
        <v>Quebec</v>
      </c>
      <c r="N501" t="s">
        <v>376</v>
      </c>
    </row>
    <row r="502" spans="1:14" hidden="1" x14ac:dyDescent="0.25">
      <c r="A502" t="str">
        <f>"Patrick"</f>
        <v>Patrick</v>
      </c>
      <c r="B502" t="str">
        <f>"Grenier"</f>
        <v>Grenier</v>
      </c>
      <c r="C502" t="str">
        <f>"Ju Shin Kan"</f>
        <v>Ju Shin Kan</v>
      </c>
      <c r="D502" t="str">
        <f>"M"</f>
        <v>M</v>
      </c>
      <c r="E502" t="s">
        <v>302</v>
      </c>
      <c r="F502" t="s">
        <v>30</v>
      </c>
      <c r="G502" t="str">
        <f>"Master"</f>
        <v>Master</v>
      </c>
      <c r="H502" t="str">
        <f>"-90"</f>
        <v>-90</v>
      </c>
      <c r="I502" t="str">
        <f>"0171432"</f>
        <v>0171432</v>
      </c>
      <c r="J502" t="str">
        <f>"Yes"</f>
        <v>Yes</v>
      </c>
      <c r="K502" t="str">
        <f>"Quebec"</f>
        <v>Quebec</v>
      </c>
      <c r="N502" t="s">
        <v>393</v>
      </c>
    </row>
    <row r="503" spans="1:14" hidden="1" x14ac:dyDescent="0.25">
      <c r="A503" t="str">
        <f>"Edouard"</f>
        <v>Edouard</v>
      </c>
      <c r="B503" t="str">
        <f>"Morin"</f>
        <v>Morin</v>
      </c>
      <c r="C503" t="str">
        <f>"Seiko"</f>
        <v>Seiko</v>
      </c>
      <c r="D503" t="str">
        <f>"M"</f>
        <v>M</v>
      </c>
      <c r="E503" t="s">
        <v>60</v>
      </c>
      <c r="F503" t="s">
        <v>22</v>
      </c>
      <c r="G503" t="str">
        <f>"U12"</f>
        <v>U12</v>
      </c>
      <c r="H503" t="str">
        <f>"-33"</f>
        <v>-33</v>
      </c>
      <c r="I503" t="str">
        <f>"0196130"</f>
        <v>0196130</v>
      </c>
      <c r="J503" t="str">
        <f>"Yes"</f>
        <v>Yes</v>
      </c>
      <c r="K503" t="str">
        <f>"Quebec"</f>
        <v>Quebec</v>
      </c>
      <c r="N503" t="s">
        <v>23</v>
      </c>
    </row>
    <row r="504" spans="1:14" hidden="1" x14ac:dyDescent="0.25">
      <c r="A504" t="str">
        <f>"Hamza"</f>
        <v>Hamza</v>
      </c>
      <c r="B504" t="str">
        <f>"Bourouiss"</f>
        <v>Bourouiss</v>
      </c>
      <c r="C504" t="str">
        <f>"Budokan Saint-Laurent"</f>
        <v>Budokan Saint-Laurent</v>
      </c>
      <c r="D504" t="str">
        <f>"M"</f>
        <v>M</v>
      </c>
      <c r="E504" t="s">
        <v>38</v>
      </c>
      <c r="F504" t="s">
        <v>15</v>
      </c>
      <c r="G504" t="str">
        <f>"U14"</f>
        <v>U14</v>
      </c>
      <c r="H504" t="str">
        <f>"-46"</f>
        <v>-46</v>
      </c>
      <c r="I504" t="str">
        <f>"0410066"</f>
        <v>0410066</v>
      </c>
      <c r="J504" t="str">
        <f>"Yes"</f>
        <v>Yes</v>
      </c>
      <c r="K504" t="str">
        <f>"Quebec"</f>
        <v>Quebec</v>
      </c>
      <c r="N504" t="s">
        <v>394</v>
      </c>
    </row>
    <row r="505" spans="1:14" hidden="1" x14ac:dyDescent="0.25">
      <c r="A505" t="str">
        <f>"Simon"</f>
        <v>Simon</v>
      </c>
      <c r="B505" t="str">
        <f>"Cormier"</f>
        <v>Cormier</v>
      </c>
      <c r="C505" t="str">
        <f>"Zenshin"</f>
        <v>Zenshin</v>
      </c>
      <c r="D505" t="str">
        <f>"M"</f>
        <v>M</v>
      </c>
      <c r="E505" t="s">
        <v>14</v>
      </c>
      <c r="F505" t="s">
        <v>15</v>
      </c>
      <c r="G505" t="str">
        <f>"U14"</f>
        <v>U14</v>
      </c>
      <c r="H505" t="str">
        <f>"-46"</f>
        <v>-46</v>
      </c>
      <c r="I505" t="str">
        <f>"0407996"</f>
        <v>0407996</v>
      </c>
      <c r="J505" t="str">
        <f>"Yes"</f>
        <v>Yes</v>
      </c>
      <c r="K505" t="str">
        <f>"Quebec"</f>
        <v>Quebec</v>
      </c>
      <c r="M505" t="str">
        <f>""</f>
        <v/>
      </c>
      <c r="N505" t="s">
        <v>394</v>
      </c>
    </row>
    <row r="506" spans="1:14" hidden="1" x14ac:dyDescent="0.25">
      <c r="A506" t="str">
        <f>"Léo"</f>
        <v>Léo</v>
      </c>
      <c r="B506" t="str">
        <f>"Lajoie"</f>
        <v>Lajoie</v>
      </c>
      <c r="C506" t="str">
        <f>"Kiseki Judo"</f>
        <v>Kiseki Judo</v>
      </c>
      <c r="D506" t="str">
        <f>"M"</f>
        <v>M</v>
      </c>
      <c r="E506" t="s">
        <v>38</v>
      </c>
      <c r="F506" t="s">
        <v>37</v>
      </c>
      <c r="G506" t="str">
        <f>"U14"</f>
        <v>U14</v>
      </c>
      <c r="H506" t="str">
        <f>"-46"</f>
        <v>-46</v>
      </c>
      <c r="I506" t="str">
        <f>"0173383"</f>
        <v>0173383</v>
      </c>
      <c r="J506" t="str">
        <f>"Yes"</f>
        <v>Yes</v>
      </c>
      <c r="K506" t="str">
        <f>"Quebec"</f>
        <v>Quebec</v>
      </c>
      <c r="N506" t="s">
        <v>394</v>
      </c>
    </row>
    <row r="507" spans="1:14" hidden="1" x14ac:dyDescent="0.25">
      <c r="A507" t="str">
        <f>"Charles-Antoine"</f>
        <v>Charles-Antoine</v>
      </c>
      <c r="B507" t="str">
        <f>"Potvin"</f>
        <v>Potvin</v>
      </c>
      <c r="C507" t="str">
        <f>"Judokas Jonquière"</f>
        <v>Judokas Jonquière</v>
      </c>
      <c r="D507" t="str">
        <f>"M"</f>
        <v>M</v>
      </c>
      <c r="E507" t="s">
        <v>14</v>
      </c>
      <c r="F507" t="s">
        <v>22</v>
      </c>
      <c r="G507" t="str">
        <f>"U14"</f>
        <v>U14</v>
      </c>
      <c r="H507" t="str">
        <f>"-46"</f>
        <v>-46</v>
      </c>
      <c r="I507" t="str">
        <f>"0239718"</f>
        <v>0239718</v>
      </c>
      <c r="J507" t="str">
        <f>"Yes"</f>
        <v>Yes</v>
      </c>
      <c r="K507" t="str">
        <f>"Quebec"</f>
        <v>Quebec</v>
      </c>
      <c r="N507" t="s">
        <v>394</v>
      </c>
    </row>
    <row r="508" spans="1:14" hidden="1" x14ac:dyDescent="0.25">
      <c r="A508" t="str">
        <f>"Ryan"</f>
        <v>Ryan</v>
      </c>
      <c r="B508" t="str">
        <f>"Aba"</f>
        <v>Aba</v>
      </c>
      <c r="C508" t="str">
        <f>"St-Paul l'Ermite"</f>
        <v>St-Paul l'Ermite</v>
      </c>
      <c r="D508" t="str">
        <f>"M"</f>
        <v>M</v>
      </c>
      <c r="E508" t="s">
        <v>38</v>
      </c>
      <c r="F508" t="s">
        <v>64</v>
      </c>
      <c r="G508" t="str">
        <f>"U14"</f>
        <v>U14</v>
      </c>
      <c r="H508" t="str">
        <f>"-46"</f>
        <v>-46</v>
      </c>
      <c r="I508" t="str">
        <f>"0195861"</f>
        <v>0195861</v>
      </c>
      <c r="J508" t="str">
        <f>"Yes"</f>
        <v>Yes</v>
      </c>
      <c r="K508" t="str">
        <f>"Quebec"</f>
        <v>Quebec</v>
      </c>
      <c r="N508" t="s">
        <v>395</v>
      </c>
    </row>
    <row r="509" spans="1:14" hidden="1" x14ac:dyDescent="0.25">
      <c r="A509" t="str">
        <f>"Louka"</f>
        <v>Louka</v>
      </c>
      <c r="B509" t="str">
        <f>"Vallière"</f>
        <v>Vallière</v>
      </c>
      <c r="C509" t="s">
        <v>81</v>
      </c>
      <c r="D509" t="str">
        <f>"M"</f>
        <v>M</v>
      </c>
      <c r="E509" t="s">
        <v>71</v>
      </c>
      <c r="F509" t="s">
        <v>30</v>
      </c>
      <c r="G509" t="str">
        <f>"U21/Senior B"</f>
        <v>U21/Senior B</v>
      </c>
      <c r="H509" t="str">
        <f>"-73"</f>
        <v>-73</v>
      </c>
      <c r="I509" t="str">
        <f>"0175413"</f>
        <v>0175413</v>
      </c>
      <c r="J509" t="str">
        <f>"Yes"</f>
        <v>Yes</v>
      </c>
      <c r="K509" t="str">
        <f>"Quebec"</f>
        <v>Quebec</v>
      </c>
      <c r="N509" t="s">
        <v>349</v>
      </c>
    </row>
    <row r="510" spans="1:14" hidden="1" x14ac:dyDescent="0.25">
      <c r="A510" t="str">
        <f>"Adam"</f>
        <v>Adam</v>
      </c>
      <c r="B510" t="str">
        <f>"Alaoui Yazidi"</f>
        <v>Alaoui Yazidi</v>
      </c>
      <c r="C510" t="str">
        <f>"Budokan Saint-Laurent"</f>
        <v>Budokan Saint-Laurent</v>
      </c>
      <c r="D510" t="str">
        <f>"M"</f>
        <v>M</v>
      </c>
      <c r="E510" t="s">
        <v>38</v>
      </c>
      <c r="F510" t="s">
        <v>64</v>
      </c>
      <c r="G510" t="str">
        <f>"U14"</f>
        <v>U14</v>
      </c>
      <c r="H510" t="str">
        <f>"-46"</f>
        <v>-46</v>
      </c>
      <c r="I510" t="str">
        <f>"0188082"</f>
        <v>0188082</v>
      </c>
      <c r="J510" t="str">
        <f>"Yes"</f>
        <v>Yes</v>
      </c>
      <c r="K510" t="str">
        <f>"Quebec"</f>
        <v>Quebec</v>
      </c>
      <c r="N510" t="s">
        <v>395</v>
      </c>
    </row>
    <row r="511" spans="1:14" hidden="1" x14ac:dyDescent="0.25">
      <c r="A511" t="str">
        <f>"Arnaud"</f>
        <v>Arnaud</v>
      </c>
      <c r="B511" t="str">
        <f>"Brideau"</f>
        <v>Brideau</v>
      </c>
      <c r="C511" t="str">
        <f>"Tani "</f>
        <v xml:space="preserve">Tani </v>
      </c>
      <c r="D511" t="str">
        <f>"M"</f>
        <v>M</v>
      </c>
      <c r="E511" t="s">
        <v>14</v>
      </c>
      <c r="F511" t="s">
        <v>64</v>
      </c>
      <c r="G511" t="str">
        <f>"U14"</f>
        <v>U14</v>
      </c>
      <c r="H511" t="str">
        <f>"-46"</f>
        <v>-46</v>
      </c>
      <c r="I511" t="str">
        <f>"0198157"</f>
        <v>0198157</v>
      </c>
      <c r="J511" t="str">
        <f>"Yes"</f>
        <v>Yes</v>
      </c>
      <c r="K511" t="str">
        <f>"Quebec"</f>
        <v>Quebec</v>
      </c>
      <c r="N511" t="s">
        <v>395</v>
      </c>
    </row>
    <row r="512" spans="1:14" hidden="1" x14ac:dyDescent="0.25">
      <c r="A512" t="str">
        <f>"Michael"</f>
        <v>Michael</v>
      </c>
      <c r="B512" t="str">
        <f>"Phaneuf"</f>
        <v>Phaneuf</v>
      </c>
      <c r="C512" t="str">
        <f>"To Haku kan"</f>
        <v>To Haku kan</v>
      </c>
      <c r="D512" t="str">
        <f>"M"</f>
        <v>M</v>
      </c>
      <c r="E512" t="s">
        <v>32</v>
      </c>
      <c r="F512" t="s">
        <v>107</v>
      </c>
      <c r="G512" t="str">
        <f>"U16"</f>
        <v>U16</v>
      </c>
      <c r="H512" t="str">
        <f>"-60"</f>
        <v>-60</v>
      </c>
      <c r="I512" t="str">
        <f>"0189078"</f>
        <v>0189078</v>
      </c>
      <c r="J512" t="str">
        <f>"Yes"</f>
        <v>Yes</v>
      </c>
      <c r="K512" t="str">
        <f>"Quebec"</f>
        <v>Quebec</v>
      </c>
      <c r="M512" t="str">
        <f>""</f>
        <v/>
      </c>
      <c r="N512" t="s">
        <v>376</v>
      </c>
    </row>
    <row r="513" spans="1:14" hidden="1" x14ac:dyDescent="0.25">
      <c r="A513" t="str">
        <f>"Skyler"</f>
        <v>Skyler</v>
      </c>
      <c r="B513" t="str">
        <f>"Proulx-Olson"</f>
        <v>Proulx-Olson</v>
      </c>
      <c r="C513" t="str">
        <f>"Perrot Shima"</f>
        <v>Perrot Shima</v>
      </c>
      <c r="D513" t="str">
        <f>"M"</f>
        <v>M</v>
      </c>
      <c r="E513" t="s">
        <v>32</v>
      </c>
      <c r="F513" t="s">
        <v>18</v>
      </c>
      <c r="G513" t="str">
        <f>"U16"</f>
        <v>U16</v>
      </c>
      <c r="H513" t="str">
        <f>"-60"</f>
        <v>-60</v>
      </c>
      <c r="I513" t="str">
        <f>"0177220"</f>
        <v>0177220</v>
      </c>
      <c r="J513" t="str">
        <f>"Yes"</f>
        <v>Yes</v>
      </c>
      <c r="K513" t="str">
        <f>"Quebec"</f>
        <v>Quebec</v>
      </c>
      <c r="N513" t="s">
        <v>376</v>
      </c>
    </row>
    <row r="514" spans="1:14" hidden="1" x14ac:dyDescent="0.25">
      <c r="A514" t="str">
        <f>"Nathaniel"</f>
        <v>Nathaniel</v>
      </c>
      <c r="B514" t="str">
        <f>"De Souza"</f>
        <v>De Souza</v>
      </c>
      <c r="C514" t="str">
        <f>"Perrot Shima"</f>
        <v>Perrot Shima</v>
      </c>
      <c r="D514" t="str">
        <f>"M"</f>
        <v>M</v>
      </c>
      <c r="E514" t="s">
        <v>38</v>
      </c>
      <c r="F514" t="s">
        <v>64</v>
      </c>
      <c r="G514" t="str">
        <f>"U14"</f>
        <v>U14</v>
      </c>
      <c r="H514" t="str">
        <f>"-46"</f>
        <v>-46</v>
      </c>
      <c r="I514" t="str">
        <f>"0214904"</f>
        <v>0214904</v>
      </c>
      <c r="J514" t="str">
        <f>"Yes"</f>
        <v>Yes</v>
      </c>
      <c r="K514" t="str">
        <f>"Quebec"</f>
        <v>Quebec</v>
      </c>
      <c r="N514" t="s">
        <v>395</v>
      </c>
    </row>
    <row r="515" spans="1:14" hidden="1" x14ac:dyDescent="0.25">
      <c r="A515" t="str">
        <f>"Anthony"</f>
        <v>Anthony</v>
      </c>
      <c r="B515" t="str">
        <f>"Rodrigue"</f>
        <v>Rodrigue</v>
      </c>
      <c r="C515" t="str">
        <f>"Judo Beauce"</f>
        <v>Judo Beauce</v>
      </c>
      <c r="D515" t="str">
        <f>"M"</f>
        <v>M</v>
      </c>
      <c r="E515" t="s">
        <v>24</v>
      </c>
      <c r="F515" t="s">
        <v>39</v>
      </c>
      <c r="G515" t="s">
        <v>151</v>
      </c>
      <c r="H515" t="str">
        <f>"-60"</f>
        <v>-60</v>
      </c>
      <c r="I515" t="str">
        <f>"0220501"</f>
        <v>0220501</v>
      </c>
      <c r="J515" t="str">
        <f>"Yes"</f>
        <v>Yes</v>
      </c>
      <c r="K515" t="str">
        <f>"Quebec"</f>
        <v>Quebec</v>
      </c>
      <c r="M515" t="str">
        <f>"2 divisions : U16 + U18"</f>
        <v>2 divisions : U16 + U18</v>
      </c>
      <c r="N515" t="s">
        <v>376</v>
      </c>
    </row>
    <row r="516" spans="1:14" hidden="1" x14ac:dyDescent="0.25">
      <c r="A516" t="str">
        <f>"Artem"</f>
        <v>Artem</v>
      </c>
      <c r="B516" t="str">
        <f>"Shaporin"</f>
        <v>Shaporin</v>
      </c>
      <c r="C516" t="s">
        <v>99</v>
      </c>
      <c r="D516" t="str">
        <f>"M"</f>
        <v>M</v>
      </c>
      <c r="E516" t="s">
        <v>24</v>
      </c>
      <c r="F516" t="s">
        <v>18</v>
      </c>
      <c r="G516" t="s">
        <v>151</v>
      </c>
      <c r="H516" t="str">
        <f>"-60"</f>
        <v>-60</v>
      </c>
      <c r="I516" t="str">
        <f>"0197662"</f>
        <v>0197662</v>
      </c>
      <c r="J516" t="str">
        <f>"Yes"</f>
        <v>Yes</v>
      </c>
      <c r="K516" t="str">
        <f>"Quebec"</f>
        <v>Quebec</v>
      </c>
      <c r="N516" t="s">
        <v>376</v>
      </c>
    </row>
    <row r="517" spans="1:14" hidden="1" x14ac:dyDescent="0.25">
      <c r="A517" t="str">
        <f>"Selena"</f>
        <v>Selena</v>
      </c>
      <c r="B517" t="str">
        <f>"Nocedo-Dufour"</f>
        <v>Nocedo-Dufour</v>
      </c>
      <c r="C517" t="str">
        <f>"Seïkidokan"</f>
        <v>Seïkidokan</v>
      </c>
      <c r="D517" t="str">
        <f>"F"</f>
        <v>F</v>
      </c>
      <c r="E517" t="s">
        <v>32</v>
      </c>
      <c r="F517" t="s">
        <v>64</v>
      </c>
      <c r="G517" t="str">
        <f>"U16"</f>
        <v>U16</v>
      </c>
      <c r="H517" t="str">
        <f>"-57"</f>
        <v>-57</v>
      </c>
      <c r="I517" t="str">
        <f>"0171497"</f>
        <v>0171497</v>
      </c>
      <c r="J517" t="str">
        <f>"Yes"</f>
        <v>Yes</v>
      </c>
      <c r="K517" t="str">
        <f>"Quebec"</f>
        <v>Quebec</v>
      </c>
      <c r="M517" t="str">
        <f>""</f>
        <v/>
      </c>
      <c r="N517" t="s">
        <v>339</v>
      </c>
    </row>
    <row r="518" spans="1:14" x14ac:dyDescent="0.25">
      <c r="A518" t="str">
        <f>"Naomie"</f>
        <v>Naomie</v>
      </c>
      <c r="B518" t="str">
        <f>"Roussy-Jacob"</f>
        <v>Roussy-Jacob</v>
      </c>
      <c r="C518" t="str">
        <f>"Sept-Iles"</f>
        <v>Sept-Iles</v>
      </c>
      <c r="D518" t="str">
        <f>"F"</f>
        <v>F</v>
      </c>
      <c r="E518" t="s">
        <v>27</v>
      </c>
      <c r="F518" t="s">
        <v>64</v>
      </c>
      <c r="G518" t="str">
        <f>"U18"</f>
        <v>U18</v>
      </c>
      <c r="H518" t="str">
        <f>"-57"</f>
        <v>-57</v>
      </c>
      <c r="I518" t="str">
        <f>"0182528"</f>
        <v>0182528</v>
      </c>
      <c r="J518" t="str">
        <f>"Yes"</f>
        <v>Yes</v>
      </c>
      <c r="K518" t="str">
        <f>"Quebec"</f>
        <v>Quebec</v>
      </c>
      <c r="N518" t="s">
        <v>345</v>
      </c>
    </row>
    <row r="519" spans="1:14" hidden="1" x14ac:dyDescent="0.25">
      <c r="A519" t="str">
        <f>"Meloize"</f>
        <v>Meloize</v>
      </c>
      <c r="B519" t="str">
        <f>"Perkinson"</f>
        <v>Perkinson</v>
      </c>
      <c r="C519" t="str">
        <f>"CJVR"</f>
        <v>CJVR</v>
      </c>
      <c r="D519" t="str">
        <f>"F"</f>
        <v>F</v>
      </c>
      <c r="E519" t="s">
        <v>32</v>
      </c>
      <c r="F519" t="s">
        <v>64</v>
      </c>
      <c r="G519" t="str">
        <f>"U16"</f>
        <v>U16</v>
      </c>
      <c r="H519" t="str">
        <f>"-57"</f>
        <v>-57</v>
      </c>
      <c r="I519" t="str">
        <f>"0223939"</f>
        <v>0223939</v>
      </c>
      <c r="J519" t="str">
        <f>"Yes"</f>
        <v>Yes</v>
      </c>
      <c r="K519" t="str">
        <f>"Quebec"</f>
        <v>Quebec</v>
      </c>
      <c r="M519" t="str">
        <f>""</f>
        <v/>
      </c>
      <c r="N519" t="s">
        <v>339</v>
      </c>
    </row>
    <row r="520" spans="1:14" x14ac:dyDescent="0.25">
      <c r="A520" t="str">
        <f>"Florence"</f>
        <v>Florence</v>
      </c>
      <c r="B520" t="str">
        <f>"Salvas"</f>
        <v>Salvas</v>
      </c>
      <c r="C520" t="str">
        <f>"Varennes"</f>
        <v>Varennes</v>
      </c>
      <c r="D520" t="str">
        <f>"F"</f>
        <v>F</v>
      </c>
      <c r="E520" t="s">
        <v>27</v>
      </c>
      <c r="F520" t="s">
        <v>18</v>
      </c>
      <c r="G520" t="str">
        <f>"U18"</f>
        <v>U18</v>
      </c>
      <c r="H520" t="str">
        <f>"-57"</f>
        <v>-57</v>
      </c>
      <c r="I520" t="str">
        <f>"0206295"</f>
        <v>0206295</v>
      </c>
      <c r="J520" t="str">
        <f>"Yes"</f>
        <v>Yes</v>
      </c>
      <c r="K520" t="str">
        <f>"Quebec"</f>
        <v>Quebec</v>
      </c>
      <c r="M520" t="str">
        <f>""</f>
        <v/>
      </c>
      <c r="N520" t="s">
        <v>345</v>
      </c>
    </row>
    <row r="521" spans="1:14" hidden="1" x14ac:dyDescent="0.25">
      <c r="A521" t="str">
        <f>"Julien"</f>
        <v>Julien</v>
      </c>
      <c r="B521" t="str">
        <f>"Vigneux-Salesse"</f>
        <v>Vigneux-Salesse</v>
      </c>
      <c r="C521" t="s">
        <v>258</v>
      </c>
      <c r="D521" t="str">
        <f>"M"</f>
        <v>M</v>
      </c>
      <c r="E521" t="s">
        <v>396</v>
      </c>
      <c r="F521" t="s">
        <v>37</v>
      </c>
      <c r="G521" t="str">
        <f>"U21/Senior Mudansha"</f>
        <v>U21/Senior Mudansha</v>
      </c>
      <c r="H521" t="str">
        <f>"-81"</f>
        <v>-81</v>
      </c>
      <c r="I521" t="str">
        <f>"0231036"</f>
        <v>0231036</v>
      </c>
      <c r="J521" t="str">
        <f>"Yes"</f>
        <v>Yes</v>
      </c>
      <c r="K521" t="str">
        <f>"Quebec"</f>
        <v>Quebec</v>
      </c>
      <c r="M521" t="str">
        <f>""</f>
        <v/>
      </c>
      <c r="N521" t="s">
        <v>357</v>
      </c>
    </row>
    <row r="522" spans="1:14" hidden="1" x14ac:dyDescent="0.25">
      <c r="A522" t="str">
        <f>"Jolan"</f>
        <v>Jolan</v>
      </c>
      <c r="B522" t="str">
        <f>"Stawarz"</f>
        <v>Stawarz</v>
      </c>
      <c r="C522" t="str">
        <f>"Torii"</f>
        <v>Torii</v>
      </c>
      <c r="D522" t="str">
        <f>"M"</f>
        <v>M</v>
      </c>
      <c r="E522" t="s">
        <v>281</v>
      </c>
      <c r="F522" t="s">
        <v>132</v>
      </c>
      <c r="G522" t="str">
        <f>"Senior A"</f>
        <v>Senior A</v>
      </c>
      <c r="H522" s="1" t="str">
        <f>"-73"</f>
        <v>-73</v>
      </c>
      <c r="I522" t="str">
        <f>"0095894"</f>
        <v>0095894</v>
      </c>
      <c r="J522" t="str">
        <f>"Yes"</f>
        <v>Yes</v>
      </c>
      <c r="K522" t="str">
        <f>"Quebec"</f>
        <v>Quebec</v>
      </c>
      <c r="M522" t="str">
        <f>""</f>
        <v/>
      </c>
      <c r="N522" t="s">
        <v>375</v>
      </c>
    </row>
    <row r="523" spans="1:14" hidden="1" x14ac:dyDescent="0.25">
      <c r="A523" t="str">
        <f>"Nicolas"</f>
        <v>Nicolas</v>
      </c>
      <c r="B523" t="str">
        <f>"York"</f>
        <v>York</v>
      </c>
      <c r="C523" t="str">
        <f>"Judo Monde"</f>
        <v>Judo Monde</v>
      </c>
      <c r="D523" t="str">
        <f>"M"</f>
        <v>M</v>
      </c>
      <c r="E523" t="s">
        <v>207</v>
      </c>
      <c r="F523" t="s">
        <v>30</v>
      </c>
      <c r="G523" t="str">
        <f>"U21/Senior B"</f>
        <v>U21/Senior B</v>
      </c>
      <c r="H523" s="1" t="str">
        <f>"-73"</f>
        <v>-73</v>
      </c>
      <c r="I523" t="str">
        <f>"0091001"</f>
        <v>0091001</v>
      </c>
      <c r="J523" t="str">
        <f>"Yes"</f>
        <v>Yes</v>
      </c>
      <c r="K523" t="str">
        <f>"Quebec"</f>
        <v>Quebec</v>
      </c>
      <c r="M523" t="str">
        <f>""</f>
        <v/>
      </c>
      <c r="N523" t="s">
        <v>349</v>
      </c>
    </row>
    <row r="524" spans="1:14" hidden="1" x14ac:dyDescent="0.25">
      <c r="A524" t="str">
        <f>"Noah"</f>
        <v>Noah</v>
      </c>
      <c r="B524" t="str">
        <f>"Dion"</f>
        <v>Dion</v>
      </c>
      <c r="C524" t="str">
        <f>"Torakai"</f>
        <v>Torakai</v>
      </c>
      <c r="D524" t="str">
        <f>"M"</f>
        <v>M</v>
      </c>
      <c r="E524" t="s">
        <v>14</v>
      </c>
      <c r="F524" t="s">
        <v>64</v>
      </c>
      <c r="G524" t="str">
        <f>"U14"</f>
        <v>U14</v>
      </c>
      <c r="H524" t="str">
        <f>"-46"</f>
        <v>-46</v>
      </c>
      <c r="I524" t="str">
        <f>"0199352"</f>
        <v>0199352</v>
      </c>
      <c r="J524" t="str">
        <f>"Yes"</f>
        <v>Yes</v>
      </c>
      <c r="K524" t="str">
        <f>"Quebec"</f>
        <v>Quebec</v>
      </c>
      <c r="N524" t="s">
        <v>395</v>
      </c>
    </row>
    <row r="525" spans="1:14" hidden="1" x14ac:dyDescent="0.25">
      <c r="A525" t="str">
        <f>"Javier"</f>
        <v>Javier</v>
      </c>
      <c r="B525" t="str">
        <f>"Quiroga Iroheta"</f>
        <v>Quiroga Iroheta</v>
      </c>
      <c r="C525" t="str">
        <f>"Shidokan"</f>
        <v>Shidokan</v>
      </c>
      <c r="D525" t="str">
        <f>"M"</f>
        <v>M</v>
      </c>
      <c r="E525" t="s">
        <v>32</v>
      </c>
      <c r="F525" t="s">
        <v>90</v>
      </c>
      <c r="G525" t="str">
        <f>"U16"</f>
        <v>U16</v>
      </c>
      <c r="H525" t="str">
        <f>"-73"</f>
        <v>-73</v>
      </c>
      <c r="I525" t="str">
        <f>"0167526"</f>
        <v>0167526</v>
      </c>
      <c r="J525" t="str">
        <f>"Yes"</f>
        <v>Yes</v>
      </c>
      <c r="K525" t="str">
        <f>"Quebec"</f>
        <v>Quebec</v>
      </c>
      <c r="M525" t="s">
        <v>19</v>
      </c>
      <c r="N525" t="s">
        <v>397</v>
      </c>
    </row>
    <row r="526" spans="1:14" hidden="1" x14ac:dyDescent="0.25">
      <c r="A526" t="s">
        <v>398</v>
      </c>
      <c r="B526" t="s">
        <v>399</v>
      </c>
      <c r="C526" t="s">
        <v>213</v>
      </c>
      <c r="D526" t="s">
        <v>52</v>
      </c>
      <c r="E526" t="s">
        <v>29</v>
      </c>
      <c r="F526" t="s">
        <v>39</v>
      </c>
      <c r="G526" s="2" t="str">
        <f>"U21/Senior Mudansha"</f>
        <v>U21/Senior Mudansha</v>
      </c>
      <c r="H526" s="1">
        <v>-81</v>
      </c>
      <c r="I526" t="s">
        <v>400</v>
      </c>
      <c r="J526" t="s">
        <v>46</v>
      </c>
      <c r="K526" t="s">
        <v>47</v>
      </c>
      <c r="M526" t="s">
        <v>401</v>
      </c>
      <c r="N526" t="s">
        <v>402</v>
      </c>
    </row>
    <row r="527" spans="1:14" hidden="1" x14ac:dyDescent="0.25">
      <c r="A527" t="str">
        <f>"Anne-Clara"</f>
        <v>Anne-Clara</v>
      </c>
      <c r="B527" t="str">
        <f>"Guérin"</f>
        <v>Guérin</v>
      </c>
      <c r="C527" t="str">
        <f>"Judokas Jonquière"</f>
        <v>Judokas Jonquière</v>
      </c>
      <c r="D527" t="str">
        <f>"F"</f>
        <v>F</v>
      </c>
      <c r="E527" t="s">
        <v>71</v>
      </c>
      <c r="F527" t="s">
        <v>30</v>
      </c>
      <c r="G527" t="s">
        <v>85</v>
      </c>
      <c r="H527" t="str">
        <f>"-63"</f>
        <v>-63</v>
      </c>
      <c r="I527" t="str">
        <f>"0148201"</f>
        <v>0148201</v>
      </c>
      <c r="J527" t="str">
        <f>"Yes"</f>
        <v>Yes</v>
      </c>
      <c r="K527" t="str">
        <f>"Quebec"</f>
        <v>Quebec</v>
      </c>
      <c r="N527" t="s">
        <v>389</v>
      </c>
    </row>
    <row r="528" spans="1:14" hidden="1" x14ac:dyDescent="0.25">
      <c r="A528" t="str">
        <f>"Gabrielle"</f>
        <v>Gabrielle</v>
      </c>
      <c r="B528" t="str">
        <f>"Bernier"</f>
        <v>Bernier</v>
      </c>
      <c r="C528" t="str">
        <f>"Judo Beauce"</f>
        <v>Judo Beauce</v>
      </c>
      <c r="D528" t="str">
        <f>"F"</f>
        <v>F</v>
      </c>
      <c r="E528" t="s">
        <v>14</v>
      </c>
      <c r="F528" t="s">
        <v>15</v>
      </c>
      <c r="G528" t="str">
        <f>"U14"</f>
        <v>U14</v>
      </c>
      <c r="H528" t="str">
        <f>"-63"</f>
        <v>-63</v>
      </c>
      <c r="I528" t="str">
        <f>"0410297"</f>
        <v>0410297</v>
      </c>
      <c r="J528" t="str">
        <f>"Yes"</f>
        <v>Yes</v>
      </c>
      <c r="K528" t="str">
        <f>"Quebec"</f>
        <v>Quebec</v>
      </c>
      <c r="N528" t="s">
        <v>403</v>
      </c>
    </row>
    <row r="529" spans="1:14" hidden="1" x14ac:dyDescent="0.25">
      <c r="A529" t="str">
        <f>"Édouard"</f>
        <v>Édouard</v>
      </c>
      <c r="B529" t="str">
        <f>"Smith"</f>
        <v>Smith</v>
      </c>
      <c r="C529" t="str">
        <f>"Vieille Capitale"</f>
        <v>Vieille Capitale</v>
      </c>
      <c r="D529" t="str">
        <f>"M"</f>
        <v>M</v>
      </c>
      <c r="E529" t="s">
        <v>32</v>
      </c>
      <c r="F529" t="s">
        <v>18</v>
      </c>
      <c r="G529" t="str">
        <f>"U16"</f>
        <v>U16</v>
      </c>
      <c r="H529" t="str">
        <f>"-60"</f>
        <v>-60</v>
      </c>
      <c r="I529" t="str">
        <f>"0184921"</f>
        <v>0184921</v>
      </c>
      <c r="J529" t="str">
        <f>"Yes"</f>
        <v>Yes</v>
      </c>
      <c r="K529" t="str">
        <f>"Quebec"</f>
        <v>Quebec</v>
      </c>
      <c r="N529" t="s">
        <v>376</v>
      </c>
    </row>
    <row r="530" spans="1:14" hidden="1" x14ac:dyDescent="0.25">
      <c r="A530" t="str">
        <f>"Melanie"</f>
        <v>Melanie</v>
      </c>
      <c r="B530" t="str">
        <f>"Laramee"</f>
        <v>Laramee</v>
      </c>
      <c r="C530" t="str">
        <f>"Judosphère"</f>
        <v>Judosphère</v>
      </c>
      <c r="D530" t="str">
        <f>"F"</f>
        <v>F</v>
      </c>
      <c r="E530" t="s">
        <v>281</v>
      </c>
      <c r="F530" t="s">
        <v>39</v>
      </c>
      <c r="G530" t="str">
        <f>"U21/Senior B"</f>
        <v>U21/Senior B</v>
      </c>
      <c r="H530" t="str">
        <f>"-63"</f>
        <v>-63</v>
      </c>
      <c r="I530" t="str">
        <f>"0237842"</f>
        <v>0237842</v>
      </c>
      <c r="J530" t="str">
        <f>"Yes"</f>
        <v>Yes</v>
      </c>
      <c r="K530" t="str">
        <f>"Quebec"</f>
        <v>Quebec</v>
      </c>
      <c r="N530" t="s">
        <v>382</v>
      </c>
    </row>
    <row r="531" spans="1:14" hidden="1" x14ac:dyDescent="0.25">
      <c r="A531" t="str">
        <f>"Hans"</f>
        <v>Hans</v>
      </c>
      <c r="B531" t="str">
        <f>"Fontaine"</f>
        <v>Fontaine</v>
      </c>
      <c r="C531" t="s">
        <v>108</v>
      </c>
      <c r="D531" t="str">
        <f>"M"</f>
        <v>M</v>
      </c>
      <c r="E531" t="s">
        <v>14</v>
      </c>
      <c r="F531" t="s">
        <v>107</v>
      </c>
      <c r="G531" t="str">
        <f>"U14"</f>
        <v>U14</v>
      </c>
      <c r="H531" t="str">
        <f>"-46"</f>
        <v>-46</v>
      </c>
      <c r="I531" t="str">
        <f>"0189854"</f>
        <v>0189854</v>
      </c>
      <c r="J531" t="str">
        <f>"Yes"</f>
        <v>Yes</v>
      </c>
      <c r="K531" t="str">
        <f>"Quebec"</f>
        <v>Quebec</v>
      </c>
      <c r="N531" t="s">
        <v>395</v>
      </c>
    </row>
    <row r="532" spans="1:14" hidden="1" x14ac:dyDescent="0.25">
      <c r="A532" t="str">
        <f>"Christopher"</f>
        <v>Christopher</v>
      </c>
      <c r="B532" t="str">
        <f>"Blouin"</f>
        <v>Blouin</v>
      </c>
      <c r="C532" t="str">
        <f>"Shidokan"</f>
        <v>Shidokan</v>
      </c>
      <c r="D532" t="str">
        <f>"M"</f>
        <v>M</v>
      </c>
      <c r="E532" t="s">
        <v>32</v>
      </c>
      <c r="F532" t="s">
        <v>33</v>
      </c>
      <c r="G532" t="str">
        <f>"U16"</f>
        <v>U16</v>
      </c>
      <c r="H532" t="str">
        <f>"-66"</f>
        <v>-66</v>
      </c>
      <c r="I532" t="str">
        <f>"0167531"</f>
        <v>0167531</v>
      </c>
      <c r="J532" t="str">
        <f>"Yes"</f>
        <v>Yes</v>
      </c>
      <c r="K532" t="str">
        <f>"Quebec"</f>
        <v>Quebec</v>
      </c>
      <c r="M532" t="str">
        <f>""</f>
        <v/>
      </c>
      <c r="N532" t="s">
        <v>404</v>
      </c>
    </row>
    <row r="533" spans="1:14" hidden="1" x14ac:dyDescent="0.25">
      <c r="A533" t="str">
        <f>"Xavier"</f>
        <v>Xavier</v>
      </c>
      <c r="B533" t="str">
        <f>"Bureau"</f>
        <v>Bureau</v>
      </c>
      <c r="C533" t="str">
        <f>"Ghishintaido inc."</f>
        <v>Ghishintaido inc.</v>
      </c>
      <c r="D533" t="str">
        <f>"M"</f>
        <v>M</v>
      </c>
      <c r="E533" t="s">
        <v>32</v>
      </c>
      <c r="F533" t="s">
        <v>39</v>
      </c>
      <c r="G533" t="str">
        <f>"U16"</f>
        <v>U16</v>
      </c>
      <c r="H533" t="str">
        <f>"-66"</f>
        <v>-66</v>
      </c>
      <c r="I533" t="str">
        <f>"0189435"</f>
        <v>0189435</v>
      </c>
      <c r="J533" t="str">
        <f>"Yes"</f>
        <v>Yes</v>
      </c>
      <c r="K533" t="str">
        <f>"Quebec"</f>
        <v>Quebec</v>
      </c>
      <c r="N533" t="s">
        <v>404</v>
      </c>
    </row>
    <row r="534" spans="1:14" hidden="1" x14ac:dyDescent="0.25">
      <c r="A534" t="str">
        <f>"Maxime"</f>
        <v>Maxime</v>
      </c>
      <c r="B534" t="str">
        <f>"Cartier"</f>
        <v>Cartier</v>
      </c>
      <c r="C534" t="str">
        <f>"Blainville"</f>
        <v>Blainville</v>
      </c>
      <c r="D534" t="str">
        <f>"M"</f>
        <v>M</v>
      </c>
      <c r="E534" t="s">
        <v>32</v>
      </c>
      <c r="F534" t="s">
        <v>64</v>
      </c>
      <c r="G534" t="str">
        <f>"U16"</f>
        <v>U16</v>
      </c>
      <c r="H534" t="str">
        <f>"-66"</f>
        <v>-66</v>
      </c>
      <c r="I534" t="str">
        <f>"0214606"</f>
        <v>0214606</v>
      </c>
      <c r="J534" t="str">
        <f>"Yes"</f>
        <v>Yes</v>
      </c>
      <c r="K534" t="str">
        <f>"Quebec"</f>
        <v>Quebec</v>
      </c>
      <c r="N534" t="s">
        <v>404</v>
      </c>
    </row>
    <row r="535" spans="1:14" hidden="1" x14ac:dyDescent="0.25">
      <c r="A535" t="str">
        <f>"Laurent"</f>
        <v>Laurent</v>
      </c>
      <c r="B535" t="str">
        <f>"Fraser"</f>
        <v>Fraser</v>
      </c>
      <c r="C535" t="str">
        <f>"Vieille Capitale"</f>
        <v>Vieille Capitale</v>
      </c>
      <c r="D535" t="str">
        <f>"M"</f>
        <v>M</v>
      </c>
      <c r="E535" t="s">
        <v>38</v>
      </c>
      <c r="F535" t="s">
        <v>107</v>
      </c>
      <c r="G535" t="str">
        <f>"U14"</f>
        <v>U14</v>
      </c>
      <c r="H535" t="str">
        <f>"-46"</f>
        <v>-46</v>
      </c>
      <c r="I535" t="str">
        <f>"0181006"</f>
        <v>0181006</v>
      </c>
      <c r="J535" t="str">
        <f>"Yes"</f>
        <v>Yes</v>
      </c>
      <c r="K535" t="str">
        <f>"Quebec"</f>
        <v>Quebec</v>
      </c>
      <c r="N535" t="s">
        <v>395</v>
      </c>
    </row>
    <row r="536" spans="1:14" hidden="1" x14ac:dyDescent="0.25">
      <c r="A536" t="str">
        <f>"Roman"</f>
        <v>Roman</v>
      </c>
      <c r="B536" t="str">
        <f>"Kouperchand"</f>
        <v>Kouperchand</v>
      </c>
      <c r="C536" t="str">
        <f>"Shidokan"</f>
        <v>Shidokan</v>
      </c>
      <c r="D536" t="str">
        <f>"M"</f>
        <v>M</v>
      </c>
      <c r="E536" t="s">
        <v>281</v>
      </c>
      <c r="F536" t="s">
        <v>18</v>
      </c>
      <c r="G536" t="s">
        <v>85</v>
      </c>
      <c r="H536" s="1" t="str">
        <f>"-81"</f>
        <v>-81</v>
      </c>
      <c r="I536" t="str">
        <f>"0234601"</f>
        <v>0234601</v>
      </c>
      <c r="J536" t="str">
        <f>"Yes"</f>
        <v>Yes</v>
      </c>
      <c r="K536" t="str">
        <f>"Quebec"</f>
        <v>Quebec</v>
      </c>
      <c r="M536" t="str">
        <f>"2 divisions : U21/Senior B + Senior A"</f>
        <v>2 divisions : U21/Senior B + Senior A</v>
      </c>
      <c r="N536" t="s">
        <v>405</v>
      </c>
    </row>
    <row r="537" spans="1:14" hidden="1" x14ac:dyDescent="0.25">
      <c r="A537" t="s">
        <v>227</v>
      </c>
      <c r="B537" t="s">
        <v>406</v>
      </c>
      <c r="C537" t="s">
        <v>407</v>
      </c>
      <c r="D537" t="s">
        <v>52</v>
      </c>
      <c r="E537" t="s">
        <v>390</v>
      </c>
      <c r="F537" t="s">
        <v>30</v>
      </c>
      <c r="G537" t="s">
        <v>53</v>
      </c>
      <c r="H537">
        <v>-81</v>
      </c>
      <c r="I537" t="s">
        <v>408</v>
      </c>
      <c r="J537" t="s">
        <v>46</v>
      </c>
      <c r="K537" t="s">
        <v>47</v>
      </c>
      <c r="M537" t="s">
        <v>409</v>
      </c>
      <c r="N537" t="s">
        <v>358</v>
      </c>
    </row>
    <row r="538" spans="1:14" hidden="1" x14ac:dyDescent="0.25">
      <c r="A538" t="str">
        <f>"Martin"</f>
        <v>Martin</v>
      </c>
      <c r="B538" t="str">
        <f>"Penchev"</f>
        <v>Penchev</v>
      </c>
      <c r="C538" t="str">
        <f>"Métropolitain"</f>
        <v>Métropolitain</v>
      </c>
      <c r="D538" t="str">
        <f>"M"</f>
        <v>M</v>
      </c>
      <c r="E538" t="s">
        <v>71</v>
      </c>
      <c r="F538" t="s">
        <v>30</v>
      </c>
      <c r="G538" t="s">
        <v>85</v>
      </c>
      <c r="H538" s="1" t="str">
        <f>"-81"</f>
        <v>-81</v>
      </c>
      <c r="I538" t="str">
        <f>"0148074"</f>
        <v>0148074</v>
      </c>
      <c r="J538" t="str">
        <f>"Yes"</f>
        <v>Yes</v>
      </c>
      <c r="K538" t="str">
        <f>"Quebec"</f>
        <v>Quebec</v>
      </c>
      <c r="M538" t="str">
        <f>"2 divisions : U21/Senior B + Senior A"</f>
        <v>2 divisions : U21/Senior B + Senior A</v>
      </c>
      <c r="N538" t="s">
        <v>405</v>
      </c>
    </row>
    <row r="539" spans="1:14" x14ac:dyDescent="0.25">
      <c r="A539" t="str">
        <f>"Andy"</f>
        <v>Andy</v>
      </c>
      <c r="B539" t="str">
        <f>"Yorio"</f>
        <v>Yorio</v>
      </c>
      <c r="C539" t="str">
        <f>"Olympique"</f>
        <v>Olympique</v>
      </c>
      <c r="D539" t="str">
        <f>"M"</f>
        <v>M</v>
      </c>
      <c r="E539" t="s">
        <v>27</v>
      </c>
      <c r="F539" t="s">
        <v>64</v>
      </c>
      <c r="G539" t="str">
        <f>"U18"</f>
        <v>U18</v>
      </c>
      <c r="H539" t="str">
        <f>"-66"</f>
        <v>-66</v>
      </c>
      <c r="I539" t="str">
        <f>"0202940"</f>
        <v>0202940</v>
      </c>
      <c r="J539" t="str">
        <f>"Yes"</f>
        <v>Yes</v>
      </c>
      <c r="K539" t="str">
        <f>"Quebec"</f>
        <v>Quebec</v>
      </c>
      <c r="N539" t="s">
        <v>295</v>
      </c>
    </row>
    <row r="540" spans="1:14" hidden="1" x14ac:dyDescent="0.25">
      <c r="A540" t="str">
        <f>"William"</f>
        <v>William</v>
      </c>
      <c r="B540" t="str">
        <f>"Hardy-Abeloos"</f>
        <v>Hardy-Abeloos</v>
      </c>
      <c r="C540" t="str">
        <f>"Kiseki Judo"</f>
        <v>Kiseki Judo</v>
      </c>
      <c r="D540" t="str">
        <f>"M"</f>
        <v>M</v>
      </c>
      <c r="E540" t="s">
        <v>195</v>
      </c>
      <c r="F540" t="s">
        <v>30</v>
      </c>
      <c r="G540" t="s">
        <v>72</v>
      </c>
      <c r="H540" s="1" t="str">
        <f>"-73"</f>
        <v>-73</v>
      </c>
      <c r="I540" t="str">
        <f>"0227413"</f>
        <v>0227413</v>
      </c>
      <c r="J540" t="str">
        <f>"Yes"</f>
        <v>Yes</v>
      </c>
      <c r="K540" t="str">
        <f>"Quebec"</f>
        <v>Quebec</v>
      </c>
      <c r="N540" t="s">
        <v>349</v>
      </c>
    </row>
    <row r="541" spans="1:14" hidden="1" x14ac:dyDescent="0.25">
      <c r="A541" t="str">
        <f>"Loubna"</f>
        <v>Loubna</v>
      </c>
      <c r="B541" t="str">
        <f>"Bradai"</f>
        <v>Bradai</v>
      </c>
      <c r="C541" t="str">
        <f>"Métropolitain"</f>
        <v>Métropolitain</v>
      </c>
      <c r="D541" t="str">
        <f>"F"</f>
        <v>F</v>
      </c>
      <c r="E541" t="s">
        <v>14</v>
      </c>
      <c r="F541" t="s">
        <v>64</v>
      </c>
      <c r="G541" t="str">
        <f>"U14"</f>
        <v>U14</v>
      </c>
      <c r="H541" t="str">
        <f>"-57"</f>
        <v>-57</v>
      </c>
      <c r="I541" t="str">
        <f>"0226325"</f>
        <v>0226325</v>
      </c>
      <c r="J541" t="str">
        <f>"Yes"</f>
        <v>Yes</v>
      </c>
      <c r="K541" t="str">
        <f>"Quebec"</f>
        <v>Quebec</v>
      </c>
      <c r="N541" t="s">
        <v>410</v>
      </c>
    </row>
    <row r="542" spans="1:14" x14ac:dyDescent="0.25">
      <c r="A542" t="str">
        <f>"Redouane"</f>
        <v>Redouane</v>
      </c>
      <c r="B542" t="str">
        <f>"Sahki"</f>
        <v>Sahki</v>
      </c>
      <c r="C542" t="str">
        <f>"Kiseki Judo"</f>
        <v>Kiseki Judo</v>
      </c>
      <c r="D542" t="str">
        <f>"M"</f>
        <v>M</v>
      </c>
      <c r="E542" t="s">
        <v>27</v>
      </c>
      <c r="F542" t="s">
        <v>15</v>
      </c>
      <c r="G542" t="str">
        <f>"U18"</f>
        <v>U18</v>
      </c>
      <c r="H542" t="str">
        <f>"-60"</f>
        <v>-60</v>
      </c>
      <c r="I542" t="str">
        <f>"0413111"</f>
        <v>0413111</v>
      </c>
      <c r="J542" t="str">
        <f>"Yes"</f>
        <v>Yes</v>
      </c>
      <c r="K542" t="str">
        <f>"Quebec"</f>
        <v>Quebec</v>
      </c>
      <c r="M542" t="s">
        <v>19</v>
      </c>
      <c r="N542" t="s">
        <v>411</v>
      </c>
    </row>
    <row r="543" spans="1:14" hidden="1" x14ac:dyDescent="0.25">
      <c r="A543" t="str">
        <f>"Victor"</f>
        <v>Victor</v>
      </c>
      <c r="B543" t="str">
        <f>"Laberge"</f>
        <v>Laberge</v>
      </c>
      <c r="C543" t="s">
        <v>313</v>
      </c>
      <c r="D543" t="str">
        <f>"M"</f>
        <v>M</v>
      </c>
      <c r="E543" t="s">
        <v>38</v>
      </c>
      <c r="F543" t="s">
        <v>107</v>
      </c>
      <c r="G543" t="str">
        <f>"U14"</f>
        <v>U14</v>
      </c>
      <c r="H543" t="str">
        <f>"-46"</f>
        <v>-46</v>
      </c>
      <c r="I543" t="str">
        <f>"0207176"</f>
        <v>0207176</v>
      </c>
      <c r="J543" t="str">
        <f>"Yes"</f>
        <v>Yes</v>
      </c>
      <c r="K543" t="str">
        <f>"Quebec"</f>
        <v>Quebec</v>
      </c>
      <c r="N543" t="s">
        <v>395</v>
      </c>
    </row>
    <row r="544" spans="1:14" hidden="1" x14ac:dyDescent="0.25">
      <c r="A544" t="str">
        <f>"Olivier"</f>
        <v>Olivier</v>
      </c>
      <c r="B544" t="str">
        <f>"Rhein"</f>
        <v>Rhein</v>
      </c>
      <c r="C544" t="str">
        <f>"Shidokan"</f>
        <v>Shidokan</v>
      </c>
      <c r="D544" t="str">
        <f>"M"</f>
        <v>M</v>
      </c>
      <c r="E544" t="s">
        <v>207</v>
      </c>
      <c r="F544" t="s">
        <v>18</v>
      </c>
      <c r="G544" t="str">
        <f>"Senior A"</f>
        <v>Senior A</v>
      </c>
      <c r="H544" s="1" t="str">
        <f>"-81"</f>
        <v>-81</v>
      </c>
      <c r="I544" t="str">
        <f>"0190251"</f>
        <v>0190251</v>
      </c>
      <c r="J544" t="str">
        <f>"Yes"</f>
        <v>Yes</v>
      </c>
      <c r="K544" t="str">
        <f>"Quebec"</f>
        <v>Quebec</v>
      </c>
      <c r="N544" t="s">
        <v>405</v>
      </c>
    </row>
    <row r="545" spans="1:14" hidden="1" x14ac:dyDescent="0.25">
      <c r="A545" t="str">
        <f>"Marc-Antoine"</f>
        <v>Marc-Antoine</v>
      </c>
      <c r="B545" t="str">
        <f>"Pelletier"</f>
        <v>Pelletier</v>
      </c>
      <c r="C545" t="str">
        <f>"La Pocatiere"</f>
        <v>La Pocatiere</v>
      </c>
      <c r="D545" t="str">
        <f>"M"</f>
        <v>M</v>
      </c>
      <c r="E545" t="s">
        <v>21</v>
      </c>
      <c r="F545" t="s">
        <v>22</v>
      </c>
      <c r="G545" t="str">
        <f>"U12"</f>
        <v>U12</v>
      </c>
      <c r="H545" t="str">
        <f>"-30"</f>
        <v>-30</v>
      </c>
      <c r="I545" t="str">
        <f>"0207155"</f>
        <v>0207155</v>
      </c>
      <c r="J545" t="str">
        <f>"Yes"</f>
        <v>Yes</v>
      </c>
      <c r="K545" t="str">
        <f>"Quebec"</f>
        <v>Quebec</v>
      </c>
      <c r="N545" t="s">
        <v>23</v>
      </c>
    </row>
    <row r="546" spans="1:14" hidden="1" x14ac:dyDescent="0.25">
      <c r="A546" t="str">
        <f>"Anabelle"</f>
        <v>Anabelle</v>
      </c>
      <c r="B546" t="str">
        <f>"Cartier"</f>
        <v>Cartier</v>
      </c>
      <c r="C546" t="str">
        <f>"Blainville"</f>
        <v>Blainville</v>
      </c>
      <c r="D546" t="str">
        <f>"F"</f>
        <v>F</v>
      </c>
      <c r="E546" t="s">
        <v>14</v>
      </c>
      <c r="F546" t="s">
        <v>37</v>
      </c>
      <c r="G546" t="str">
        <f>"U14"</f>
        <v>U14</v>
      </c>
      <c r="H546" t="str">
        <f>"-63"</f>
        <v>-63</v>
      </c>
      <c r="I546" t="str">
        <f>"0214604"</f>
        <v>0214604</v>
      </c>
      <c r="J546" t="str">
        <f>"Yes"</f>
        <v>Yes</v>
      </c>
      <c r="K546" t="str">
        <f>"Quebec"</f>
        <v>Quebec</v>
      </c>
      <c r="N546" t="s">
        <v>403</v>
      </c>
    </row>
    <row r="547" spans="1:14" hidden="1" x14ac:dyDescent="0.25">
      <c r="A547" t="str">
        <f>"Tristan"</f>
        <v>Tristan</v>
      </c>
      <c r="B547" t="str">
        <f>"Perron"</f>
        <v>Perron</v>
      </c>
      <c r="C547" t="str">
        <f>"Zenshin"</f>
        <v>Zenshin</v>
      </c>
      <c r="D547" t="str">
        <f>"M"</f>
        <v>M</v>
      </c>
      <c r="E547" t="s">
        <v>38</v>
      </c>
      <c r="F547" t="s">
        <v>64</v>
      </c>
      <c r="G547" t="str">
        <f>"U14"</f>
        <v>U14</v>
      </c>
      <c r="H547" t="str">
        <f>"-46"</f>
        <v>-46</v>
      </c>
      <c r="I547" t="str">
        <f>"0192355"</f>
        <v>0192355</v>
      </c>
      <c r="J547" t="str">
        <f>"Yes"</f>
        <v>Yes</v>
      </c>
      <c r="K547" t="str">
        <f>"Quebec"</f>
        <v>Quebec</v>
      </c>
      <c r="M547" t="str">
        <f>""</f>
        <v/>
      </c>
      <c r="N547" t="s">
        <v>395</v>
      </c>
    </row>
    <row r="548" spans="1:14" hidden="1" x14ac:dyDescent="0.25">
      <c r="A548" t="str">
        <f>"Thomas"</f>
        <v>Thomas</v>
      </c>
      <c r="B548" t="str">
        <f>"Desmarais"</f>
        <v>Desmarais</v>
      </c>
      <c r="C548" t="str">
        <f>"Asbestos-Danville"</f>
        <v>Asbestos-Danville</v>
      </c>
      <c r="D548" t="str">
        <f>"M"</f>
        <v>M</v>
      </c>
      <c r="E548" t="s">
        <v>24</v>
      </c>
      <c r="F548" t="s">
        <v>39</v>
      </c>
      <c r="G548" t="str">
        <f>"U16"</f>
        <v>U16</v>
      </c>
      <c r="H548" t="str">
        <f>"-66"</f>
        <v>-66</v>
      </c>
      <c r="I548" t="str">
        <f>"0175322"</f>
        <v>0175322</v>
      </c>
      <c r="J548" t="str">
        <f>"Yes"</f>
        <v>Yes</v>
      </c>
      <c r="K548" t="str">
        <f>"Quebec"</f>
        <v>Quebec</v>
      </c>
      <c r="N548" t="s">
        <v>404</v>
      </c>
    </row>
    <row r="549" spans="1:14" x14ac:dyDescent="0.25">
      <c r="A549" t="str">
        <f>"Ivan"</f>
        <v>Ivan</v>
      </c>
      <c r="B549" t="str">
        <f>"Arapovic"</f>
        <v>Arapovic</v>
      </c>
      <c r="C549" t="str">
        <f>"Shidokan"</f>
        <v>Shidokan</v>
      </c>
      <c r="D549" t="str">
        <f>"M"</f>
        <v>M</v>
      </c>
      <c r="E549" t="s">
        <v>17</v>
      </c>
      <c r="F549" t="s">
        <v>18</v>
      </c>
      <c r="G549" t="str">
        <f>"U18"</f>
        <v>U18</v>
      </c>
      <c r="H549" t="str">
        <f>"-73"</f>
        <v>-73</v>
      </c>
      <c r="I549" t="str">
        <f>"0165794"</f>
        <v>0165794</v>
      </c>
      <c r="J549" t="str">
        <f>"Yes"</f>
        <v>Yes</v>
      </c>
      <c r="K549" t="str">
        <f>"Quebec"</f>
        <v>Quebec</v>
      </c>
      <c r="N549" t="s">
        <v>412</v>
      </c>
    </row>
    <row r="550" spans="1:14" hidden="1" x14ac:dyDescent="0.25">
      <c r="A550" t="str">
        <f>"Franko"</f>
        <v>Franko</v>
      </c>
      <c r="B550" t="str">
        <f>"Carvajal"</f>
        <v>Carvajal</v>
      </c>
      <c r="C550" t="str">
        <f>"St-Paul l'Ermite"</f>
        <v>St-Paul l'Ermite</v>
      </c>
      <c r="D550" t="str">
        <f>"M"</f>
        <v>M</v>
      </c>
      <c r="E550" t="s">
        <v>29</v>
      </c>
      <c r="F550" t="s">
        <v>39</v>
      </c>
      <c r="G550" t="s">
        <v>72</v>
      </c>
      <c r="H550" t="str">
        <f>"-81"</f>
        <v>-81</v>
      </c>
      <c r="I550" t="str">
        <f>"0221122"</f>
        <v>0221122</v>
      </c>
      <c r="J550" t="str">
        <f>"Yes"</f>
        <v>Yes</v>
      </c>
      <c r="K550" t="str">
        <f>"Quebec"</f>
        <v>Quebec</v>
      </c>
      <c r="M550" t="s">
        <v>401</v>
      </c>
      <c r="N550" t="s">
        <v>413</v>
      </c>
    </row>
    <row r="551" spans="1:14" hidden="1" x14ac:dyDescent="0.25">
      <c r="A551" t="str">
        <f>"Denis"</f>
        <v>Denis</v>
      </c>
      <c r="B551" t="str">
        <f>"Shelgunov"</f>
        <v>Shelgunov</v>
      </c>
      <c r="C551" t="s">
        <v>258</v>
      </c>
      <c r="D551" t="str">
        <f>"M"</f>
        <v>M</v>
      </c>
      <c r="E551" t="s">
        <v>233</v>
      </c>
      <c r="F551" t="s">
        <v>30</v>
      </c>
      <c r="G551" t="str">
        <f>"Senior A"</f>
        <v>Senior A</v>
      </c>
      <c r="H551" s="1" t="str">
        <f>"-81"</f>
        <v>-81</v>
      </c>
      <c r="I551" t="str">
        <f>"0135534"</f>
        <v>0135534</v>
      </c>
      <c r="J551" t="str">
        <f>"Yes"</f>
        <v>Yes</v>
      </c>
      <c r="K551" t="str">
        <f>"Quebec"</f>
        <v>Quebec</v>
      </c>
      <c r="M551" t="str">
        <f>""</f>
        <v/>
      </c>
      <c r="N551" t="s">
        <v>405</v>
      </c>
    </row>
    <row r="552" spans="1:14" hidden="1" x14ac:dyDescent="0.25">
      <c r="A552" t="str">
        <f>"Roman"</f>
        <v>Roman</v>
      </c>
      <c r="B552" t="str">
        <f>"Kouperchand"</f>
        <v>Kouperchand</v>
      </c>
      <c r="C552" t="str">
        <f>"Shidokan"</f>
        <v>Shidokan</v>
      </c>
      <c r="D552" t="str">
        <f>"M"</f>
        <v>M</v>
      </c>
      <c r="E552" t="s">
        <v>281</v>
      </c>
      <c r="F552" t="s">
        <v>18</v>
      </c>
      <c r="G552" t="s">
        <v>72</v>
      </c>
      <c r="H552" t="str">
        <f>"-81"</f>
        <v>-81</v>
      </c>
      <c r="I552" t="str">
        <f>"0234601"</f>
        <v>0234601</v>
      </c>
      <c r="J552" t="str">
        <f>"Yes"</f>
        <v>Yes</v>
      </c>
      <c r="K552" t="str">
        <f>"Quebec"</f>
        <v>Quebec</v>
      </c>
      <c r="M552" t="str">
        <f>"2 divisions : U21/Senior B + Senior A"</f>
        <v>2 divisions : U21/Senior B + Senior A</v>
      </c>
      <c r="N552" t="s">
        <v>413</v>
      </c>
    </row>
    <row r="553" spans="1:14" hidden="1" x14ac:dyDescent="0.25">
      <c r="A553" t="s">
        <v>414</v>
      </c>
      <c r="B553" t="s">
        <v>415</v>
      </c>
      <c r="C553" t="s">
        <v>268</v>
      </c>
      <c r="D553" t="s">
        <v>52</v>
      </c>
      <c r="E553" t="s">
        <v>17</v>
      </c>
      <c r="F553" t="s">
        <v>30</v>
      </c>
      <c r="G553" t="s">
        <v>72</v>
      </c>
      <c r="H553">
        <v>-81</v>
      </c>
      <c r="I553" t="s">
        <v>416</v>
      </c>
      <c r="J553" t="s">
        <v>46</v>
      </c>
      <c r="K553" t="s">
        <v>47</v>
      </c>
      <c r="M553" t="s">
        <v>35</v>
      </c>
      <c r="N553" t="s">
        <v>413</v>
      </c>
    </row>
    <row r="554" spans="1:14" hidden="1" x14ac:dyDescent="0.25">
      <c r="A554" t="str">
        <f>"Léonie"</f>
        <v>Léonie</v>
      </c>
      <c r="B554" t="str">
        <f>"Bernard"</f>
        <v>Bernard</v>
      </c>
      <c r="C554" t="str">
        <f>"Seiko"</f>
        <v>Seiko</v>
      </c>
      <c r="D554" t="str">
        <f>"F"</f>
        <v>F</v>
      </c>
      <c r="E554" t="s">
        <v>24</v>
      </c>
      <c r="F554" t="s">
        <v>64</v>
      </c>
      <c r="G554" t="str">
        <f>"U16"</f>
        <v>U16</v>
      </c>
      <c r="H554" t="str">
        <f>"-63"</f>
        <v>-63</v>
      </c>
      <c r="I554" t="str">
        <f>"0184944"</f>
        <v>0184944</v>
      </c>
      <c r="J554" t="str">
        <f>"Yes"</f>
        <v>Yes</v>
      </c>
      <c r="K554" t="str">
        <f>"Quebec"</f>
        <v>Quebec</v>
      </c>
      <c r="N554" t="s">
        <v>417</v>
      </c>
    </row>
    <row r="555" spans="1:14" hidden="1" x14ac:dyDescent="0.25">
      <c r="A555" t="str">
        <f>"Abigael"</f>
        <v>Abigael</v>
      </c>
      <c r="B555" t="str">
        <f>"Bourgoin"</f>
        <v>Bourgoin</v>
      </c>
      <c r="C555" t="str">
        <f>"Vieille Capitale"</f>
        <v>Vieille Capitale</v>
      </c>
      <c r="D555" t="str">
        <f>"F"</f>
        <v>F</v>
      </c>
      <c r="E555" t="s">
        <v>32</v>
      </c>
      <c r="F555" t="s">
        <v>64</v>
      </c>
      <c r="G555" t="str">
        <f>"U16"</f>
        <v>U16</v>
      </c>
      <c r="H555" t="str">
        <f>"-63"</f>
        <v>-63</v>
      </c>
      <c r="I555" t="str">
        <f>"0409463"</f>
        <v>0409463</v>
      </c>
      <c r="J555" t="str">
        <f>"Yes"</f>
        <v>Yes</v>
      </c>
      <c r="K555" t="str">
        <f>"Quebec"</f>
        <v>Quebec</v>
      </c>
      <c r="N555" t="s">
        <v>417</v>
      </c>
    </row>
    <row r="556" spans="1:14" hidden="1" x14ac:dyDescent="0.25">
      <c r="A556" t="str">
        <f>"Alexia"</f>
        <v>Alexia</v>
      </c>
      <c r="B556" t="str">
        <f>"Frechette"</f>
        <v>Frechette</v>
      </c>
      <c r="C556" t="str">
        <f>"Seïkidokan"</f>
        <v>Seïkidokan</v>
      </c>
      <c r="D556" t="str">
        <f>"F"</f>
        <v>F</v>
      </c>
      <c r="E556" t="s">
        <v>14</v>
      </c>
      <c r="F556" t="s">
        <v>15</v>
      </c>
      <c r="G556" t="str">
        <f>"U14"</f>
        <v>U14</v>
      </c>
      <c r="H556" t="str">
        <f>"-63"</f>
        <v>-63</v>
      </c>
      <c r="I556" t="str">
        <f>"0239262"</f>
        <v>0239262</v>
      </c>
      <c r="J556" t="str">
        <f>"Yes"</f>
        <v>Yes</v>
      </c>
      <c r="K556" t="str">
        <f>"Quebec"</f>
        <v>Quebec</v>
      </c>
      <c r="M556" t="str">
        <f>""</f>
        <v/>
      </c>
      <c r="N556" t="s">
        <v>403</v>
      </c>
    </row>
    <row r="557" spans="1:14" hidden="1" x14ac:dyDescent="0.25">
      <c r="A557" t="str">
        <f>"Vincent"</f>
        <v>Vincent</v>
      </c>
      <c r="B557" t="str">
        <f>"Roberge-Poitras"</f>
        <v>Roberge-Poitras</v>
      </c>
      <c r="C557" t="str">
        <f>"Baie-Comeau"</f>
        <v>Baie-Comeau</v>
      </c>
      <c r="D557" t="str">
        <f>"M"</f>
        <v>M</v>
      </c>
      <c r="E557" t="s">
        <v>38</v>
      </c>
      <c r="F557" t="s">
        <v>64</v>
      </c>
      <c r="G557" t="str">
        <f>"U14"</f>
        <v>U14</v>
      </c>
      <c r="H557" t="str">
        <f>"-46"</f>
        <v>-46</v>
      </c>
      <c r="I557" t="str">
        <f>"0189648"</f>
        <v>0189648</v>
      </c>
      <c r="J557" t="str">
        <f>"Yes"</f>
        <v>Yes</v>
      </c>
      <c r="K557" t="str">
        <f>"Quebec"</f>
        <v>Quebec</v>
      </c>
      <c r="N557" t="s">
        <v>395</v>
      </c>
    </row>
    <row r="558" spans="1:14" hidden="1" x14ac:dyDescent="0.25">
      <c r="A558" t="str">
        <f>"Thomas"</f>
        <v>Thomas</v>
      </c>
      <c r="B558" t="str">
        <f>"Desmarais"</f>
        <v>Desmarais</v>
      </c>
      <c r="C558" t="str">
        <f>"Asbestos-Danville"</f>
        <v>Asbestos-Danville</v>
      </c>
      <c r="D558" t="str">
        <f>"M"</f>
        <v>M</v>
      </c>
      <c r="E558" t="s">
        <v>24</v>
      </c>
      <c r="F558" t="s">
        <v>39</v>
      </c>
      <c r="G558" t="str">
        <f>"U16"</f>
        <v>U16</v>
      </c>
      <c r="H558" t="str">
        <f>"-66"</f>
        <v>-66</v>
      </c>
      <c r="I558" t="str">
        <f>"0175322"</f>
        <v>0175322</v>
      </c>
      <c r="J558" t="str">
        <f>"Yes"</f>
        <v>Yes</v>
      </c>
      <c r="K558" t="str">
        <f>"Quebec"</f>
        <v>Quebec</v>
      </c>
      <c r="N558" t="s">
        <v>404</v>
      </c>
    </row>
    <row r="559" spans="1:14" hidden="1" x14ac:dyDescent="0.25">
      <c r="A559" t="str">
        <f>"Xavier"</f>
        <v>Xavier</v>
      </c>
      <c r="B559" t="str">
        <f>"Godbout"</f>
        <v>Godbout</v>
      </c>
      <c r="C559" t="s">
        <v>313</v>
      </c>
      <c r="D559" t="str">
        <f>"M"</f>
        <v>M</v>
      </c>
      <c r="E559" t="s">
        <v>24</v>
      </c>
      <c r="F559" t="s">
        <v>18</v>
      </c>
      <c r="G559" t="s">
        <v>151</v>
      </c>
      <c r="H559" t="str">
        <f>"-66"</f>
        <v>-66</v>
      </c>
      <c r="I559" t="str">
        <f>"0198512"</f>
        <v>0198512</v>
      </c>
      <c r="J559" t="str">
        <f>"Yes"</f>
        <v>Yes</v>
      </c>
      <c r="K559" t="str">
        <f>"Quebec"</f>
        <v>Quebec</v>
      </c>
      <c r="N559" t="s">
        <v>404</v>
      </c>
    </row>
    <row r="560" spans="1:14" x14ac:dyDescent="0.25">
      <c r="A560" t="str">
        <f>"Leo"</f>
        <v>Leo</v>
      </c>
      <c r="B560" t="str">
        <f>"Arencibia"</f>
        <v>Arencibia</v>
      </c>
      <c r="C560" t="str">
        <f>"Shidokan"</f>
        <v>Shidokan</v>
      </c>
      <c r="D560" t="str">
        <f>"M"</f>
        <v>M</v>
      </c>
      <c r="E560" t="s">
        <v>27</v>
      </c>
      <c r="F560" t="s">
        <v>18</v>
      </c>
      <c r="G560" t="str">
        <f>"U18"</f>
        <v>U18</v>
      </c>
      <c r="H560" t="str">
        <f>"-73"</f>
        <v>-73</v>
      </c>
      <c r="I560" t="str">
        <f>"0225165"</f>
        <v>0225165</v>
      </c>
      <c r="J560" t="str">
        <f>"Yes"</f>
        <v>Yes</v>
      </c>
      <c r="K560" t="str">
        <f>"Quebec"</f>
        <v>Quebec</v>
      </c>
      <c r="N560" t="s">
        <v>412</v>
      </c>
    </row>
    <row r="561" spans="1:14" hidden="1" x14ac:dyDescent="0.25">
      <c r="A561" t="str">
        <f>"Vincent"</f>
        <v>Vincent</v>
      </c>
      <c r="B561" t="str">
        <f>"Piche"</f>
        <v>Piche</v>
      </c>
      <c r="C561" t="str">
        <f>"Seïkidokan"</f>
        <v>Seïkidokan</v>
      </c>
      <c r="D561" t="str">
        <f>"M"</f>
        <v>M</v>
      </c>
      <c r="E561" t="s">
        <v>21</v>
      </c>
      <c r="F561" t="s">
        <v>15</v>
      </c>
      <c r="G561" t="str">
        <f>"U12"</f>
        <v>U12</v>
      </c>
      <c r="H561" t="str">
        <f>"-42"</f>
        <v>-42</v>
      </c>
      <c r="I561" t="str">
        <f>"0239270"</f>
        <v>0239270</v>
      </c>
      <c r="J561" t="str">
        <f>"Yes"</f>
        <v>Yes</v>
      </c>
      <c r="K561" t="str">
        <f>"Quebec"</f>
        <v>Quebec</v>
      </c>
      <c r="M561" t="str">
        <f>""</f>
        <v/>
      </c>
      <c r="N561" t="s">
        <v>23</v>
      </c>
    </row>
    <row r="562" spans="1:14" hidden="1" x14ac:dyDescent="0.25">
      <c r="A562" t="str">
        <f>"Mael"</f>
        <v>Mael</v>
      </c>
      <c r="B562" t="str">
        <f>"Stawarz"</f>
        <v>Stawarz</v>
      </c>
      <c r="C562" t="str">
        <f>"Torii"</f>
        <v>Torii</v>
      </c>
      <c r="D562" t="str">
        <f>"M"</f>
        <v>M</v>
      </c>
      <c r="E562" t="s">
        <v>207</v>
      </c>
      <c r="F562" t="s">
        <v>30</v>
      </c>
      <c r="G562" t="str">
        <f>"Senior A"</f>
        <v>Senior A</v>
      </c>
      <c r="H562" s="1" t="str">
        <f>"-81"</f>
        <v>-81</v>
      </c>
      <c r="I562" t="str">
        <f>"0095852"</f>
        <v>0095852</v>
      </c>
      <c r="J562" t="str">
        <f>"Yes"</f>
        <v>Yes</v>
      </c>
      <c r="K562" t="str">
        <f>"Quebec"</f>
        <v>Quebec</v>
      </c>
      <c r="M562" t="str">
        <f>""</f>
        <v/>
      </c>
      <c r="N562" t="s">
        <v>405</v>
      </c>
    </row>
    <row r="563" spans="1:14" hidden="1" x14ac:dyDescent="0.25">
      <c r="A563" t="str">
        <f>"Pierre-Olivier"</f>
        <v>Pierre-Olivier</v>
      </c>
      <c r="B563" t="str">
        <f>"Pilote"</f>
        <v>Pilote</v>
      </c>
      <c r="C563" t="str">
        <f>"Albatros"</f>
        <v>Albatros</v>
      </c>
      <c r="D563" t="str">
        <f>"M"</f>
        <v>M</v>
      </c>
      <c r="E563" t="s">
        <v>60</v>
      </c>
      <c r="F563" t="s">
        <v>22</v>
      </c>
      <c r="G563" t="str">
        <f>"U12"</f>
        <v>U12</v>
      </c>
      <c r="H563" t="str">
        <f>"-33"</f>
        <v>-33</v>
      </c>
      <c r="I563" t="str">
        <f>"0215938"</f>
        <v>0215938</v>
      </c>
      <c r="J563" t="str">
        <f>"Yes"</f>
        <v>Yes</v>
      </c>
      <c r="K563" t="str">
        <f>"Quebec"</f>
        <v>Quebec</v>
      </c>
      <c r="N563" t="s">
        <v>23</v>
      </c>
    </row>
    <row r="564" spans="1:14" hidden="1" x14ac:dyDescent="0.25">
      <c r="A564" t="s">
        <v>418</v>
      </c>
      <c r="B564" t="s">
        <v>419</v>
      </c>
      <c r="C564" t="str">
        <f>"St-Leonard"</f>
        <v>St-Leonard</v>
      </c>
      <c r="D564" t="s">
        <v>44</v>
      </c>
      <c r="E564" t="s">
        <v>71</v>
      </c>
      <c r="F564" t="s">
        <v>30</v>
      </c>
      <c r="G564" t="s">
        <v>85</v>
      </c>
      <c r="H564" s="1">
        <v>-63</v>
      </c>
      <c r="I564" t="s">
        <v>420</v>
      </c>
      <c r="J564" t="s">
        <v>46</v>
      </c>
      <c r="K564" t="s">
        <v>47</v>
      </c>
      <c r="M564" t="s">
        <v>191</v>
      </c>
      <c r="N564" t="s">
        <v>389</v>
      </c>
    </row>
    <row r="565" spans="1:14" hidden="1" x14ac:dyDescent="0.25">
      <c r="A565" t="str">
        <f>"Lucca"</f>
        <v>Lucca</v>
      </c>
      <c r="B565" t="str">
        <f>"Gorbachuk"</f>
        <v>Gorbachuk</v>
      </c>
      <c r="C565" t="str">
        <f>"St-Jean Bosco"</f>
        <v>St-Jean Bosco</v>
      </c>
      <c r="D565" t="str">
        <f>"M"</f>
        <v>M</v>
      </c>
      <c r="E565" t="s">
        <v>24</v>
      </c>
      <c r="F565" t="s">
        <v>18</v>
      </c>
      <c r="G565" t="str">
        <f>"U16"</f>
        <v>U16</v>
      </c>
      <c r="H565" t="str">
        <f>"-66"</f>
        <v>-66</v>
      </c>
      <c r="I565" t="str">
        <f>"0180032"</f>
        <v>0180032</v>
      </c>
      <c r="J565" t="str">
        <f>"Yes"</f>
        <v>Yes</v>
      </c>
      <c r="K565" t="str">
        <f>"Quebec"</f>
        <v>Quebec</v>
      </c>
      <c r="N565" t="s">
        <v>404</v>
      </c>
    </row>
    <row r="566" spans="1:14" hidden="1" x14ac:dyDescent="0.25">
      <c r="A566" t="str">
        <f>"Theo"</f>
        <v>Theo</v>
      </c>
      <c r="B566" t="str">
        <f>"Rushworth"</f>
        <v>Rushworth</v>
      </c>
      <c r="C566" t="str">
        <f>"Sept-Iles"</f>
        <v>Sept-Iles</v>
      </c>
      <c r="D566" t="str">
        <f>"M"</f>
        <v>M</v>
      </c>
      <c r="E566" t="s">
        <v>38</v>
      </c>
      <c r="F566" t="s">
        <v>39</v>
      </c>
      <c r="G566" t="str">
        <f>"U14"</f>
        <v>U14</v>
      </c>
      <c r="H566" t="str">
        <f>"-46"</f>
        <v>-46</v>
      </c>
      <c r="I566" t="str">
        <f>"0209320"</f>
        <v>0209320</v>
      </c>
      <c r="J566" t="str">
        <f>"Yes"</f>
        <v>Yes</v>
      </c>
      <c r="K566" t="str">
        <f>"Quebec"</f>
        <v>Quebec</v>
      </c>
      <c r="N566" t="s">
        <v>395</v>
      </c>
    </row>
    <row r="567" spans="1:14" hidden="1" x14ac:dyDescent="0.25">
      <c r="A567" t="str">
        <f>"Jérémie"</f>
        <v>Jérémie</v>
      </c>
      <c r="B567" t="str">
        <f>"Lapointe"</f>
        <v>Lapointe</v>
      </c>
      <c r="C567" t="str">
        <f>"Judokan Port Cartier"</f>
        <v>Judokan Port Cartier</v>
      </c>
      <c r="D567" t="str">
        <f>"M"</f>
        <v>M</v>
      </c>
      <c r="E567" t="s">
        <v>71</v>
      </c>
      <c r="F567" t="s">
        <v>30</v>
      </c>
      <c r="G567" t="str">
        <f>"U21/Senior B"</f>
        <v>U21/Senior B</v>
      </c>
      <c r="H567" t="str">
        <f>"-81"</f>
        <v>-81</v>
      </c>
      <c r="I567" t="str">
        <f>"0162678"</f>
        <v>0162678</v>
      </c>
      <c r="J567" t="str">
        <f>"Yes"</f>
        <v>Yes</v>
      </c>
      <c r="K567" t="str">
        <f>"Quebec"</f>
        <v>Quebec</v>
      </c>
      <c r="N567" t="s">
        <v>413</v>
      </c>
    </row>
    <row r="568" spans="1:14" hidden="1" x14ac:dyDescent="0.25">
      <c r="A568" t="str">
        <f>"Arthur"</f>
        <v>Arthur</v>
      </c>
      <c r="B568" t="str">
        <f>"Karpukov"</f>
        <v>Karpukov</v>
      </c>
      <c r="C568" t="str">
        <f>"Shidokan"</f>
        <v>Shidokan</v>
      </c>
      <c r="D568" t="str">
        <f>"M"</f>
        <v>M</v>
      </c>
      <c r="E568" t="s">
        <v>32</v>
      </c>
      <c r="F568" t="s">
        <v>107</v>
      </c>
      <c r="G568" t="str">
        <f>"U16"</f>
        <v>U16</v>
      </c>
      <c r="H568" t="str">
        <f>"-66"</f>
        <v>-66</v>
      </c>
      <c r="I568" t="str">
        <f>"0233204"</f>
        <v>0233204</v>
      </c>
      <c r="J568" t="str">
        <f>"Yes"</f>
        <v>Yes</v>
      </c>
      <c r="K568" t="str">
        <f>"Quebec"</f>
        <v>Quebec</v>
      </c>
      <c r="M568" t="str">
        <f>""</f>
        <v/>
      </c>
      <c r="N568" t="s">
        <v>404</v>
      </c>
    </row>
    <row r="569" spans="1:14" x14ac:dyDescent="0.25">
      <c r="A569" t="s">
        <v>421</v>
      </c>
      <c r="B569" t="s">
        <v>422</v>
      </c>
      <c r="C569" t="s">
        <v>28</v>
      </c>
      <c r="D569" t="s">
        <v>52</v>
      </c>
      <c r="E569" t="s">
        <v>24</v>
      </c>
      <c r="F569" t="s">
        <v>18</v>
      </c>
      <c r="G569" t="s">
        <v>25</v>
      </c>
      <c r="H569">
        <v>-73</v>
      </c>
      <c r="I569" t="s">
        <v>423</v>
      </c>
      <c r="J569" t="s">
        <v>46</v>
      </c>
      <c r="K569" t="s">
        <v>47</v>
      </c>
      <c r="M569" t="s">
        <v>48</v>
      </c>
      <c r="N569" t="s">
        <v>412</v>
      </c>
    </row>
    <row r="570" spans="1:14" hidden="1" x14ac:dyDescent="0.25">
      <c r="A570" t="str">
        <f>"Amine"</f>
        <v>Amine</v>
      </c>
      <c r="B570" t="str">
        <f>"Nasrallan"</f>
        <v>Nasrallan</v>
      </c>
      <c r="C570" t="str">
        <f>"Olympique"</f>
        <v>Olympique</v>
      </c>
      <c r="D570" t="str">
        <f>"M"</f>
        <v>M</v>
      </c>
      <c r="E570" t="s">
        <v>424</v>
      </c>
      <c r="F570" t="s">
        <v>30</v>
      </c>
      <c r="G570" t="str">
        <f>"U21/Senior B"</f>
        <v>U21/Senior B</v>
      </c>
      <c r="H570" t="str">
        <f>"-81"</f>
        <v>-81</v>
      </c>
      <c r="I570" t="str">
        <f>"0410452"</f>
        <v>0410452</v>
      </c>
      <c r="J570" t="str">
        <f>"Yes"</f>
        <v>Yes</v>
      </c>
      <c r="K570" t="str">
        <f>"Quebec"</f>
        <v>Quebec</v>
      </c>
      <c r="N570" t="s">
        <v>413</v>
      </c>
    </row>
    <row r="571" spans="1:14" hidden="1" x14ac:dyDescent="0.25">
      <c r="A571" t="str">
        <f>"Raphael"</f>
        <v>Raphael</v>
      </c>
      <c r="B571" t="str">
        <f>"Simard"</f>
        <v>Simard</v>
      </c>
      <c r="C571" t="str">
        <f>"Haut-Richelieu"</f>
        <v>Haut-Richelieu</v>
      </c>
      <c r="D571" t="str">
        <f>"M"</f>
        <v>M</v>
      </c>
      <c r="E571" t="s">
        <v>38</v>
      </c>
      <c r="F571" t="s">
        <v>64</v>
      </c>
      <c r="G571" t="str">
        <f>"U14"</f>
        <v>U14</v>
      </c>
      <c r="H571" s="2" t="str">
        <f>"-46"</f>
        <v>-46</v>
      </c>
      <c r="I571" t="str">
        <f>"0222592"</f>
        <v>0222592</v>
      </c>
      <c r="J571" t="str">
        <f>"Yes"</f>
        <v>Yes</v>
      </c>
      <c r="K571" t="str">
        <f>"Quebec"</f>
        <v>Quebec</v>
      </c>
      <c r="N571" t="s">
        <v>395</v>
      </c>
    </row>
    <row r="572" spans="1:14" hidden="1" x14ac:dyDescent="0.25">
      <c r="A572" t="s">
        <v>425</v>
      </c>
      <c r="B572" t="s">
        <v>426</v>
      </c>
      <c r="C572" t="s">
        <v>59</v>
      </c>
      <c r="D572" t="s">
        <v>52</v>
      </c>
      <c r="E572" t="s">
        <v>29</v>
      </c>
      <c r="F572" t="s">
        <v>64</v>
      </c>
      <c r="G572" t="s">
        <v>196</v>
      </c>
      <c r="H572">
        <v>-81</v>
      </c>
      <c r="I572" t="s">
        <v>427</v>
      </c>
      <c r="J572" t="s">
        <v>46</v>
      </c>
      <c r="K572" t="s">
        <v>47</v>
      </c>
      <c r="N572" t="s">
        <v>402</v>
      </c>
    </row>
    <row r="573" spans="1:14" hidden="1" x14ac:dyDescent="0.25">
      <c r="A573" t="s">
        <v>428</v>
      </c>
      <c r="B573" t="s">
        <v>366</v>
      </c>
      <c r="C573" t="s">
        <v>298</v>
      </c>
      <c r="D573" t="s">
        <v>52</v>
      </c>
      <c r="E573" t="s">
        <v>14</v>
      </c>
      <c r="F573" t="s">
        <v>37</v>
      </c>
      <c r="G573" t="s">
        <v>95</v>
      </c>
      <c r="H573" t="str">
        <f>"-50"</f>
        <v>-50</v>
      </c>
      <c r="I573">
        <v>199173</v>
      </c>
      <c r="J573" t="s">
        <v>46</v>
      </c>
      <c r="K573" t="str">
        <f>"Quebec"</f>
        <v>Quebec</v>
      </c>
      <c r="N573" t="s">
        <v>429</v>
      </c>
    </row>
    <row r="574" spans="1:14" hidden="1" x14ac:dyDescent="0.25">
      <c r="A574" t="str">
        <f>"Amath"</f>
        <v>Amath</v>
      </c>
      <c r="B574" t="str">
        <f>"Kane"</f>
        <v>Kane</v>
      </c>
      <c r="C574" t="str">
        <f>"Olympique"</f>
        <v>Olympique</v>
      </c>
      <c r="D574" t="str">
        <f>"M"</f>
        <v>M</v>
      </c>
      <c r="E574" t="s">
        <v>430</v>
      </c>
      <c r="F574" t="s">
        <v>132</v>
      </c>
      <c r="G574" t="str">
        <f>"Master"</f>
        <v>Master</v>
      </c>
      <c r="H574" t="str">
        <f>"-100"</f>
        <v>-100</v>
      </c>
      <c r="I574" t="str">
        <f>"0226652"</f>
        <v>0226652</v>
      </c>
      <c r="J574" t="str">
        <f>"Yes"</f>
        <v>Yes</v>
      </c>
      <c r="K574" t="str">
        <f>"Quebec"</f>
        <v>Quebec</v>
      </c>
      <c r="N574" t="s">
        <v>431</v>
      </c>
    </row>
    <row r="575" spans="1:14" hidden="1" x14ac:dyDescent="0.25">
      <c r="A575" t="str">
        <f>"William"</f>
        <v>William</v>
      </c>
      <c r="B575" t="str">
        <f>"Laporte William"</f>
        <v>Laporte William</v>
      </c>
      <c r="C575" t="str">
        <f>"Kime-Waza  Joliette"</f>
        <v>Kime-Waza  Joliette</v>
      </c>
      <c r="D575" t="str">
        <f>"M"</f>
        <v>M</v>
      </c>
      <c r="E575" t="s">
        <v>24</v>
      </c>
      <c r="F575" t="s">
        <v>64</v>
      </c>
      <c r="G575" t="str">
        <f>"U16"</f>
        <v>U16</v>
      </c>
      <c r="H575" t="str">
        <f>"-66"</f>
        <v>-66</v>
      </c>
      <c r="I575" t="str">
        <f>"0180960"</f>
        <v>0180960</v>
      </c>
      <c r="J575" t="str">
        <f>"Yes"</f>
        <v>Yes</v>
      </c>
      <c r="K575" t="str">
        <f>"Quebec"</f>
        <v>Quebec</v>
      </c>
      <c r="M575" t="str">
        <f>""</f>
        <v/>
      </c>
      <c r="N575" t="s">
        <v>404</v>
      </c>
    </row>
    <row r="576" spans="1:14" hidden="1" x14ac:dyDescent="0.25">
      <c r="A576" t="str">
        <f>"Frédéric"</f>
        <v>Frédéric</v>
      </c>
      <c r="B576" t="str">
        <f>"Morin"</f>
        <v>Morin</v>
      </c>
      <c r="C576" t="str">
        <f>"Hontaï Dojo"</f>
        <v>Hontaï Dojo</v>
      </c>
      <c r="D576" t="str">
        <f>"M"</f>
        <v>M</v>
      </c>
      <c r="E576" t="s">
        <v>430</v>
      </c>
      <c r="F576" t="s">
        <v>30</v>
      </c>
      <c r="G576" t="str">
        <f>"Master"</f>
        <v>Master</v>
      </c>
      <c r="H576" t="str">
        <f>"-66"</f>
        <v>-66</v>
      </c>
      <c r="I576" t="str">
        <f>"7487"</f>
        <v>7487</v>
      </c>
      <c r="J576" t="str">
        <f>"Yes"</f>
        <v>Yes</v>
      </c>
      <c r="K576" t="str">
        <f>"Quebec"</f>
        <v>Quebec</v>
      </c>
      <c r="N576" t="s">
        <v>432</v>
      </c>
    </row>
    <row r="577" spans="1:14" hidden="1" x14ac:dyDescent="0.25">
      <c r="A577" t="str">
        <f>"Éléonore"</f>
        <v>Éléonore</v>
      </c>
      <c r="B577" t="str">
        <f>"Proulx"</f>
        <v>Proulx</v>
      </c>
      <c r="C577" t="str">
        <f>"Shawinigan"</f>
        <v>Shawinigan</v>
      </c>
      <c r="D577" t="str">
        <f>"F"</f>
        <v>F</v>
      </c>
      <c r="E577" t="s">
        <v>21</v>
      </c>
      <c r="F577" t="s">
        <v>37</v>
      </c>
      <c r="G577" t="str">
        <f>"U12"</f>
        <v>U12</v>
      </c>
      <c r="H577" t="str">
        <f>"-33"</f>
        <v>-33</v>
      </c>
      <c r="I577" t="str">
        <f>"0211249"</f>
        <v>0211249</v>
      </c>
      <c r="J577" t="str">
        <f>"Yes"</f>
        <v>Yes</v>
      </c>
      <c r="K577" t="str">
        <f>"Quebec"</f>
        <v>Quebec</v>
      </c>
      <c r="N577" t="s">
        <v>91</v>
      </c>
    </row>
    <row r="578" spans="1:14" hidden="1" x14ac:dyDescent="0.25">
      <c r="A578" t="str">
        <f>"Dakota"</f>
        <v>Dakota</v>
      </c>
      <c r="B578" t="str">
        <f>"Proulx Olson"</f>
        <v>Proulx Olson</v>
      </c>
      <c r="C578" t="str">
        <f>"Perrot Shima"</f>
        <v>Perrot Shima</v>
      </c>
      <c r="D578" t="str">
        <f>"F"</f>
        <v>F</v>
      </c>
      <c r="E578" t="s">
        <v>21</v>
      </c>
      <c r="F578" t="s">
        <v>64</v>
      </c>
      <c r="G578" t="str">
        <f>"U12"</f>
        <v>U12</v>
      </c>
      <c r="H578" t="str">
        <f>"-49"</f>
        <v>-49</v>
      </c>
      <c r="I578" t="str">
        <f>"0193679"</f>
        <v>0193679</v>
      </c>
      <c r="J578" t="str">
        <f>"Yes"</f>
        <v>Yes</v>
      </c>
      <c r="K578" t="str">
        <f>"Quebec"</f>
        <v>Quebec</v>
      </c>
      <c r="N578" t="s">
        <v>91</v>
      </c>
    </row>
    <row r="579" spans="1:14" hidden="1" x14ac:dyDescent="0.25">
      <c r="A579" t="str">
        <f>"Olivia"</f>
        <v>Olivia</v>
      </c>
      <c r="B579" t="str">
        <f>"Dessureault"</f>
        <v>Dessureault</v>
      </c>
      <c r="C579" t="str">
        <f>"Judokas Jonquière"</f>
        <v>Judokas Jonquière</v>
      </c>
      <c r="D579" t="str">
        <f>"F"</f>
        <v>F</v>
      </c>
      <c r="E579" t="s">
        <v>38</v>
      </c>
      <c r="F579" t="s">
        <v>39</v>
      </c>
      <c r="G579" t="str">
        <f>"U14"</f>
        <v>U14</v>
      </c>
      <c r="H579" t="str">
        <f>"-57"</f>
        <v>-57</v>
      </c>
      <c r="I579" t="str">
        <f>"0202114"</f>
        <v>0202114</v>
      </c>
      <c r="J579" t="str">
        <f>"Yes"</f>
        <v>Yes</v>
      </c>
      <c r="K579" t="str">
        <f>"Quebec"</f>
        <v>Quebec</v>
      </c>
      <c r="N579" t="s">
        <v>410</v>
      </c>
    </row>
    <row r="580" spans="1:14" hidden="1" x14ac:dyDescent="0.25">
      <c r="A580" t="str">
        <f>"Felix"</f>
        <v>Felix</v>
      </c>
      <c r="B580" t="str">
        <f>"Mercier Ross"</f>
        <v>Mercier Ross</v>
      </c>
      <c r="C580" t="str">
        <f>"Métropolitain"</f>
        <v>Métropolitain</v>
      </c>
      <c r="D580" t="str">
        <f>"M"</f>
        <v>M</v>
      </c>
      <c r="E580" t="s">
        <v>24</v>
      </c>
      <c r="F580" t="s">
        <v>18</v>
      </c>
      <c r="G580" t="s">
        <v>151</v>
      </c>
      <c r="H580" t="str">
        <f>"-66"</f>
        <v>-66</v>
      </c>
      <c r="I580" t="str">
        <f>"0204120"</f>
        <v>0204120</v>
      </c>
      <c r="J580" t="str">
        <f>"Yes"</f>
        <v>Yes</v>
      </c>
      <c r="K580" t="str">
        <f>"Quebec"</f>
        <v>Quebec</v>
      </c>
      <c r="M580" t="str">
        <f>"2 divisions : U16 + U18"</f>
        <v>2 divisions : U16 + U18</v>
      </c>
      <c r="N580" t="s">
        <v>404</v>
      </c>
    </row>
    <row r="581" spans="1:14" hidden="1" x14ac:dyDescent="0.25">
      <c r="A581" t="s">
        <v>433</v>
      </c>
      <c r="B581" t="s">
        <v>272</v>
      </c>
      <c r="C581" t="s">
        <v>59</v>
      </c>
      <c r="D581" t="s">
        <v>52</v>
      </c>
      <c r="E581" t="s">
        <v>434</v>
      </c>
      <c r="F581" t="s">
        <v>18</v>
      </c>
      <c r="G581" t="s">
        <v>391</v>
      </c>
      <c r="H581">
        <v>-81</v>
      </c>
      <c r="I581" t="s">
        <v>435</v>
      </c>
      <c r="J581" t="s">
        <v>46</v>
      </c>
      <c r="K581" t="s">
        <v>47</v>
      </c>
      <c r="N581" t="s">
        <v>436</v>
      </c>
    </row>
    <row r="582" spans="1:14" hidden="1" x14ac:dyDescent="0.25">
      <c r="A582" t="str">
        <f>"Laurent"</f>
        <v>Laurent</v>
      </c>
      <c r="B582" t="str">
        <f>"Minville"</f>
        <v>Minville</v>
      </c>
      <c r="C582" t="str">
        <f>"Institut Judo Chicoutimi"</f>
        <v>Institut Judo Chicoutimi</v>
      </c>
      <c r="D582" t="str">
        <f>"M"</f>
        <v>M</v>
      </c>
      <c r="E582" t="s">
        <v>32</v>
      </c>
      <c r="F582" t="s">
        <v>39</v>
      </c>
      <c r="G582" t="str">
        <f>"U16"</f>
        <v>U16</v>
      </c>
      <c r="H582" t="str">
        <f>"-66"</f>
        <v>-66</v>
      </c>
      <c r="I582" t="str">
        <f>"0164007"</f>
        <v>0164007</v>
      </c>
      <c r="J582" t="str">
        <f>"Yes"</f>
        <v>Yes</v>
      </c>
      <c r="K582" t="str">
        <f>"Quebec"</f>
        <v>Quebec</v>
      </c>
      <c r="M582" t="str">
        <f>""</f>
        <v/>
      </c>
      <c r="N582" t="s">
        <v>404</v>
      </c>
    </row>
    <row r="583" spans="1:14" x14ac:dyDescent="0.25">
      <c r="A583" t="s">
        <v>79</v>
      </c>
      <c r="B583" t="s">
        <v>437</v>
      </c>
      <c r="C583" t="s">
        <v>119</v>
      </c>
      <c r="D583" t="s">
        <v>52</v>
      </c>
      <c r="E583" t="s">
        <v>24</v>
      </c>
      <c r="F583" t="s">
        <v>18</v>
      </c>
      <c r="G583" t="s">
        <v>25</v>
      </c>
      <c r="H583">
        <v>-73</v>
      </c>
      <c r="I583" t="s">
        <v>438</v>
      </c>
      <c r="J583" t="s">
        <v>46</v>
      </c>
      <c r="K583" t="s">
        <v>47</v>
      </c>
      <c r="M583" t="s">
        <v>48</v>
      </c>
      <c r="N583" t="s">
        <v>412</v>
      </c>
    </row>
    <row r="584" spans="1:14" hidden="1" x14ac:dyDescent="0.25">
      <c r="A584" t="str">
        <f>"Nathan"</f>
        <v>Nathan</v>
      </c>
      <c r="B584" t="str">
        <f>"Fortin"</f>
        <v>Fortin</v>
      </c>
      <c r="C584" t="str">
        <f>"Torakai"</f>
        <v>Torakai</v>
      </c>
      <c r="D584" t="str">
        <f>"M"</f>
        <v>M</v>
      </c>
      <c r="E584" t="s">
        <v>32</v>
      </c>
      <c r="F584" t="s">
        <v>37</v>
      </c>
      <c r="G584" t="str">
        <f>"U16"</f>
        <v>U16</v>
      </c>
      <c r="H584" t="str">
        <f>"-66"</f>
        <v>-66</v>
      </c>
      <c r="I584" t="str">
        <f>"0207522"</f>
        <v>0207522</v>
      </c>
      <c r="J584" t="str">
        <f>"Yes"</f>
        <v>Yes</v>
      </c>
      <c r="K584" t="str">
        <f>"Quebec"</f>
        <v>Quebec</v>
      </c>
      <c r="M584" t="str">
        <f>""</f>
        <v/>
      </c>
      <c r="N584" t="s">
        <v>439</v>
      </c>
    </row>
    <row r="585" spans="1:14" hidden="1" x14ac:dyDescent="0.25">
      <c r="A585" t="str">
        <f>"Herve"</f>
        <v>Herve</v>
      </c>
      <c r="B585" t="str">
        <f>"Noundo"</f>
        <v>Noundo</v>
      </c>
      <c r="C585" t="s">
        <v>258</v>
      </c>
      <c r="D585" t="str">
        <f>"M"</f>
        <v>M</v>
      </c>
      <c r="E585" t="s">
        <v>424</v>
      </c>
      <c r="F585" t="s">
        <v>39</v>
      </c>
      <c r="G585" s="3" t="str">
        <f>"U21/Senior Mudansha"</f>
        <v>U21/Senior Mudansha</v>
      </c>
      <c r="H585" t="str">
        <f>"-81"</f>
        <v>-81</v>
      </c>
      <c r="I585" t="str">
        <f>"0214198"</f>
        <v>0214198</v>
      </c>
      <c r="J585" t="str">
        <f>"Yes"</f>
        <v>Yes</v>
      </c>
      <c r="K585" t="str">
        <f>"Quebec"</f>
        <v>Quebec</v>
      </c>
      <c r="M585" t="s">
        <v>440</v>
      </c>
      <c r="N585" t="s">
        <v>402</v>
      </c>
    </row>
    <row r="586" spans="1:14" hidden="1" x14ac:dyDescent="0.25">
      <c r="A586" t="str">
        <f>"Gabriel"</f>
        <v>Gabriel</v>
      </c>
      <c r="B586" t="str">
        <f>"Tremblay"</f>
        <v>Tremblay</v>
      </c>
      <c r="C586" t="str">
        <f>"Baie-Comeau"</f>
        <v>Baie-Comeau</v>
      </c>
      <c r="D586" t="str">
        <f>"M"</f>
        <v>M</v>
      </c>
      <c r="E586" t="s">
        <v>14</v>
      </c>
      <c r="F586" t="s">
        <v>22</v>
      </c>
      <c r="G586" t="str">
        <f>"U14"</f>
        <v>U14</v>
      </c>
      <c r="H586" t="str">
        <f>"-50"</f>
        <v>-50</v>
      </c>
      <c r="I586" t="str">
        <f>"0184835"</f>
        <v>0184835</v>
      </c>
      <c r="J586" t="str">
        <f>"Yes"</f>
        <v>Yes</v>
      </c>
      <c r="K586" t="str">
        <f>"Quebec"</f>
        <v>Quebec</v>
      </c>
      <c r="N586" t="s">
        <v>429</v>
      </c>
    </row>
    <row r="587" spans="1:14" hidden="1" x14ac:dyDescent="0.25">
      <c r="A587" t="str">
        <f>"Hamza"</f>
        <v>Hamza</v>
      </c>
      <c r="B587" t="str">
        <f>"Reffad"</f>
        <v>Reffad</v>
      </c>
      <c r="C587" t="str">
        <f>"St-Leonard"</f>
        <v>St-Leonard</v>
      </c>
      <c r="D587" t="str">
        <f>"M"</f>
        <v>M</v>
      </c>
      <c r="E587" t="s">
        <v>21</v>
      </c>
      <c r="F587" t="s">
        <v>37</v>
      </c>
      <c r="G587" t="str">
        <f>"U12"</f>
        <v>U12</v>
      </c>
      <c r="H587" t="str">
        <f>"-36"</f>
        <v>-36</v>
      </c>
      <c r="I587" t="str">
        <f>"0200853"</f>
        <v>0200853</v>
      </c>
      <c r="J587" t="str">
        <f>"Yes"</f>
        <v>Yes</v>
      </c>
      <c r="K587" t="str">
        <f>"Quebec"</f>
        <v>Quebec</v>
      </c>
      <c r="M587" t="str">
        <f>""</f>
        <v/>
      </c>
      <c r="N587" t="s">
        <v>23</v>
      </c>
    </row>
    <row r="588" spans="1:14" hidden="1" x14ac:dyDescent="0.25">
      <c r="A588" t="str">
        <f>"Thomas"</f>
        <v>Thomas</v>
      </c>
      <c r="B588" t="str">
        <f>"Badat"</f>
        <v>Badat</v>
      </c>
      <c r="C588" t="str">
        <f>"Judo Victo"</f>
        <v>Judo Victo</v>
      </c>
      <c r="D588" t="str">
        <f>"M"</f>
        <v>M</v>
      </c>
      <c r="E588" t="s">
        <v>207</v>
      </c>
      <c r="F588" t="s">
        <v>30</v>
      </c>
      <c r="G588" t="s">
        <v>85</v>
      </c>
      <c r="H588" s="1" t="str">
        <f>"-90"</f>
        <v>-90</v>
      </c>
      <c r="I588" t="str">
        <f>"0100436"</f>
        <v>0100436</v>
      </c>
      <c r="J588" t="str">
        <f>"Yes"</f>
        <v>Yes</v>
      </c>
      <c r="K588" t="str">
        <f>"Quebec"</f>
        <v>Quebec</v>
      </c>
      <c r="M588" t="str">
        <f>"2 divisions : Senior A + Ne-waza"</f>
        <v>2 divisions : Senior A + Ne-waza</v>
      </c>
      <c r="N588" t="s">
        <v>441</v>
      </c>
    </row>
    <row r="589" spans="1:14" hidden="1" x14ac:dyDescent="0.25">
      <c r="A589" t="str">
        <f>"Jacob"</f>
        <v>Jacob</v>
      </c>
      <c r="B589" t="str">
        <f>"Riverin"</f>
        <v>Riverin</v>
      </c>
      <c r="C589" t="str">
        <f>"Judokas Jonquière"</f>
        <v>Judokas Jonquière</v>
      </c>
      <c r="D589" t="str">
        <f>"M"</f>
        <v>M</v>
      </c>
      <c r="E589" t="s">
        <v>21</v>
      </c>
      <c r="F589" t="s">
        <v>90</v>
      </c>
      <c r="G589" t="str">
        <f>"U12"</f>
        <v>U12</v>
      </c>
      <c r="H589" t="str">
        <f>"-39"</f>
        <v>-39</v>
      </c>
      <c r="I589" t="str">
        <f>"0204417"</f>
        <v>0204417</v>
      </c>
      <c r="J589" t="str">
        <f>"Yes"</f>
        <v>Yes</v>
      </c>
      <c r="K589" t="str">
        <f>"Quebec"</f>
        <v>Quebec</v>
      </c>
      <c r="N589" t="s">
        <v>23</v>
      </c>
    </row>
    <row r="590" spans="1:14" hidden="1" x14ac:dyDescent="0.25">
      <c r="A590" t="str">
        <f>"William"</f>
        <v>William</v>
      </c>
      <c r="B590" t="str">
        <f>"Roberge"</f>
        <v>Roberge</v>
      </c>
      <c r="C590" t="str">
        <f>"Fermont"</f>
        <v>Fermont</v>
      </c>
      <c r="D590" t="str">
        <f>"M"</f>
        <v>M</v>
      </c>
      <c r="E590" t="s">
        <v>21</v>
      </c>
      <c r="F590" t="s">
        <v>33</v>
      </c>
      <c r="G590" t="str">
        <f>"U12"</f>
        <v>U12</v>
      </c>
      <c r="H590" t="str">
        <f>"-36"</f>
        <v>-36</v>
      </c>
      <c r="I590" t="str">
        <f>"0214719"</f>
        <v>0214719</v>
      </c>
      <c r="J590" t="str">
        <f>"Yes"</f>
        <v>Yes</v>
      </c>
      <c r="K590" t="str">
        <f>"Quebec"</f>
        <v>Quebec</v>
      </c>
      <c r="N590" t="s">
        <v>23</v>
      </c>
    </row>
    <row r="591" spans="1:14" hidden="1" x14ac:dyDescent="0.25">
      <c r="A591" t="str">
        <f>"Samuel"</f>
        <v>Samuel</v>
      </c>
      <c r="B591" t="str">
        <f>"Roberge-Poitras"</f>
        <v>Roberge-Poitras</v>
      </c>
      <c r="C591" t="str">
        <f>"Baie-Comeau"</f>
        <v>Baie-Comeau</v>
      </c>
      <c r="D591" t="str">
        <f>"M"</f>
        <v>M</v>
      </c>
      <c r="E591" t="s">
        <v>21</v>
      </c>
      <c r="F591" t="s">
        <v>37</v>
      </c>
      <c r="G591" t="str">
        <f>"U12"</f>
        <v>U12</v>
      </c>
      <c r="H591" t="str">
        <f>"-33"</f>
        <v>-33</v>
      </c>
      <c r="I591" t="str">
        <f>"0189647"</f>
        <v>0189647</v>
      </c>
      <c r="J591" t="str">
        <f>"Yes"</f>
        <v>Yes</v>
      </c>
      <c r="K591" t="str">
        <f>"Quebec"</f>
        <v>Quebec</v>
      </c>
      <c r="N591" t="s">
        <v>23</v>
      </c>
    </row>
    <row r="592" spans="1:14" hidden="1" x14ac:dyDescent="0.25">
      <c r="A592" t="str">
        <f>"Jean-David"</f>
        <v>Jean-David</v>
      </c>
      <c r="B592" t="str">
        <f>"Bouchard"</f>
        <v>Bouchard</v>
      </c>
      <c r="C592" t="str">
        <f>"Fermont"</f>
        <v>Fermont</v>
      </c>
      <c r="D592" t="str">
        <f>"M"</f>
        <v>M</v>
      </c>
      <c r="E592" t="s">
        <v>14</v>
      </c>
      <c r="F592" t="s">
        <v>107</v>
      </c>
      <c r="G592" t="str">
        <f>"U14"</f>
        <v>U14</v>
      </c>
      <c r="H592" t="str">
        <f>"-50"</f>
        <v>-50</v>
      </c>
      <c r="I592" t="str">
        <f>"0202387"</f>
        <v>0202387</v>
      </c>
      <c r="J592" t="str">
        <f>"Yes"</f>
        <v>Yes</v>
      </c>
      <c r="K592" t="str">
        <f>"Quebec"</f>
        <v>Quebec</v>
      </c>
      <c r="N592" t="s">
        <v>442</v>
      </c>
    </row>
    <row r="593" spans="1:14" hidden="1" x14ac:dyDescent="0.25">
      <c r="A593" t="str">
        <f>"Fahd"</f>
        <v>Fahd</v>
      </c>
      <c r="B593" t="str">
        <f>"Fithane"</f>
        <v>Fithane</v>
      </c>
      <c r="C593" t="str">
        <f>"Shidokan"</f>
        <v>Shidokan</v>
      </c>
      <c r="D593" t="str">
        <f>"M"</f>
        <v>M</v>
      </c>
      <c r="E593" t="s">
        <v>38</v>
      </c>
      <c r="F593" t="s">
        <v>64</v>
      </c>
      <c r="G593" t="str">
        <f>"U14"</f>
        <v>U14</v>
      </c>
      <c r="H593" t="str">
        <f>"-50"</f>
        <v>-50</v>
      </c>
      <c r="I593" t="str">
        <f>"0230568"</f>
        <v>0230568</v>
      </c>
      <c r="J593" t="str">
        <f>"Yes"</f>
        <v>Yes</v>
      </c>
      <c r="K593" t="str">
        <f>"Quebec"</f>
        <v>Quebec</v>
      </c>
      <c r="M593" t="str">
        <f>""</f>
        <v/>
      </c>
      <c r="N593" t="s">
        <v>442</v>
      </c>
    </row>
    <row r="594" spans="1:14" hidden="1" x14ac:dyDescent="0.25">
      <c r="A594" t="str">
        <f>"Julianne"</f>
        <v>Julianne</v>
      </c>
      <c r="B594" t="str">
        <f>"Corbeil"</f>
        <v>Corbeil</v>
      </c>
      <c r="C594" t="str">
        <f>"Baie-Comeau"</f>
        <v>Baie-Comeau</v>
      </c>
      <c r="D594" t="str">
        <f>"F"</f>
        <v>F</v>
      </c>
      <c r="E594" t="s">
        <v>24</v>
      </c>
      <c r="F594" t="s">
        <v>64</v>
      </c>
      <c r="G594" t="str">
        <f>"U16"</f>
        <v>U16</v>
      </c>
      <c r="H594" t="str">
        <f>"-63"</f>
        <v>-63</v>
      </c>
      <c r="I594" t="str">
        <f>"0217028"</f>
        <v>0217028</v>
      </c>
      <c r="J594" t="str">
        <f>"Yes"</f>
        <v>Yes</v>
      </c>
      <c r="K594" t="str">
        <f>"Quebec"</f>
        <v>Quebec</v>
      </c>
      <c r="N594" t="s">
        <v>417</v>
      </c>
    </row>
    <row r="595" spans="1:14" x14ac:dyDescent="0.25">
      <c r="A595" t="str">
        <f>"Laurence"</f>
        <v>Laurence</v>
      </c>
      <c r="B595" t="str">
        <f>"Biron"</f>
        <v>Biron</v>
      </c>
      <c r="C595" t="str">
        <f>"Varennes"</f>
        <v>Varennes</v>
      </c>
      <c r="D595" t="str">
        <f>"F"</f>
        <v>F</v>
      </c>
      <c r="E595" t="s">
        <v>27</v>
      </c>
      <c r="F595" t="s">
        <v>18</v>
      </c>
      <c r="G595" t="s">
        <v>25</v>
      </c>
      <c r="H595" t="str">
        <f>"-63"</f>
        <v>-63</v>
      </c>
      <c r="I595" t="str">
        <f>"0172969"</f>
        <v>0172969</v>
      </c>
      <c r="J595" t="str">
        <f>"Yes"</f>
        <v>Yes</v>
      </c>
      <c r="K595" t="str">
        <f>"Quebec"</f>
        <v>Quebec</v>
      </c>
      <c r="M595" t="str">
        <f>"2 divisions : U18 + U21/Sénior B"</f>
        <v>2 divisions : U18 + U21/Sénior B</v>
      </c>
      <c r="N595" t="s">
        <v>443</v>
      </c>
    </row>
    <row r="596" spans="1:14" hidden="1" x14ac:dyDescent="0.25">
      <c r="A596" t="str">
        <f>"Martin"</f>
        <v>Martin</v>
      </c>
      <c r="B596" t="str">
        <f>"Penchev"</f>
        <v>Penchev</v>
      </c>
      <c r="C596" t="str">
        <f>"Métropolitain"</f>
        <v>Métropolitain</v>
      </c>
      <c r="D596" t="str">
        <f>"M"</f>
        <v>M</v>
      </c>
      <c r="E596" t="s">
        <v>71</v>
      </c>
      <c r="F596" t="s">
        <v>30</v>
      </c>
      <c r="G596" t="s">
        <v>72</v>
      </c>
      <c r="H596" t="str">
        <f>"-81"</f>
        <v>-81</v>
      </c>
      <c r="I596" t="str">
        <f>"0148074"</f>
        <v>0148074</v>
      </c>
      <c r="J596" t="str">
        <f>"Yes"</f>
        <v>Yes</v>
      </c>
      <c r="K596" t="str">
        <f>"Quebec"</f>
        <v>Quebec</v>
      </c>
      <c r="M596" t="str">
        <f>"2 divisions : U21/Senior B + Senior A"</f>
        <v>2 divisions : U21/Senior B + Senior A</v>
      </c>
      <c r="N596" t="s">
        <v>413</v>
      </c>
    </row>
    <row r="597" spans="1:14" hidden="1" x14ac:dyDescent="0.25">
      <c r="A597" t="s">
        <v>444</v>
      </c>
      <c r="B597" t="s">
        <v>445</v>
      </c>
      <c r="C597" t="s">
        <v>446</v>
      </c>
      <c r="D597" t="s">
        <v>52</v>
      </c>
      <c r="E597">
        <v>2007</v>
      </c>
      <c r="F597" t="s">
        <v>64</v>
      </c>
      <c r="G597" t="s">
        <v>95</v>
      </c>
      <c r="H597">
        <v>-50</v>
      </c>
      <c r="I597" t="s">
        <v>447</v>
      </c>
      <c r="J597" t="s">
        <v>46</v>
      </c>
      <c r="K597" t="s">
        <v>47</v>
      </c>
      <c r="N597" t="s">
        <v>442</v>
      </c>
    </row>
    <row r="598" spans="1:14" hidden="1" x14ac:dyDescent="0.25">
      <c r="A598" t="str">
        <f>"Olivier"</f>
        <v>Olivier</v>
      </c>
      <c r="B598" t="str">
        <f>"Rodgers"</f>
        <v>Rodgers</v>
      </c>
      <c r="C598" t="str">
        <f>"Sept-Iles"</f>
        <v>Sept-Iles</v>
      </c>
      <c r="D598" t="str">
        <f>"M"</f>
        <v>M</v>
      </c>
      <c r="E598" t="s">
        <v>60</v>
      </c>
      <c r="F598" t="s">
        <v>64</v>
      </c>
      <c r="G598" t="str">
        <f>"U12"</f>
        <v>U12</v>
      </c>
      <c r="H598" t="str">
        <f>"-25"</f>
        <v>-25</v>
      </c>
      <c r="I598" t="str">
        <f>"0182514"</f>
        <v>0182514</v>
      </c>
      <c r="J598" t="str">
        <f>"Yes"</f>
        <v>Yes</v>
      </c>
      <c r="K598" t="str">
        <f>"Quebec"</f>
        <v>Quebec</v>
      </c>
      <c r="N598" t="s">
        <v>23</v>
      </c>
    </row>
    <row r="599" spans="1:14" hidden="1" x14ac:dyDescent="0.25">
      <c r="A599" t="str">
        <f>"Rayanne"</f>
        <v>Rayanne</v>
      </c>
      <c r="B599" t="str">
        <f>"Kone"</f>
        <v>Kone</v>
      </c>
      <c r="C599" t="str">
        <f>"Judokan Port Cartier"</f>
        <v>Judokan Port Cartier</v>
      </c>
      <c r="D599" t="str">
        <f>"M"</f>
        <v>M</v>
      </c>
      <c r="E599" t="s">
        <v>38</v>
      </c>
      <c r="F599" t="s">
        <v>64</v>
      </c>
      <c r="G599" t="str">
        <f>"U14"</f>
        <v>U14</v>
      </c>
      <c r="H599" t="str">
        <f>"-50"</f>
        <v>-50</v>
      </c>
      <c r="I599" t="str">
        <f>"0214394"</f>
        <v>0214394</v>
      </c>
      <c r="J599" t="str">
        <f>"Yes"</f>
        <v>Yes</v>
      </c>
      <c r="K599" t="str">
        <f>"Quebec"</f>
        <v>Quebec</v>
      </c>
      <c r="N599" t="s">
        <v>442</v>
      </c>
    </row>
    <row r="600" spans="1:14" hidden="1" x14ac:dyDescent="0.25">
      <c r="A600" t="str">
        <f>"Jingtong"</f>
        <v>Jingtong</v>
      </c>
      <c r="B600" t="str">
        <f>"Mo"</f>
        <v>Mo</v>
      </c>
      <c r="C600" t="str">
        <f>"Shidokan"</f>
        <v>Shidokan</v>
      </c>
      <c r="D600" t="str">
        <f>"M"</f>
        <v>M</v>
      </c>
      <c r="E600" t="s">
        <v>24</v>
      </c>
      <c r="F600" t="s">
        <v>39</v>
      </c>
      <c r="G600" t="str">
        <f>"U16"</f>
        <v>U16</v>
      </c>
      <c r="H600" t="str">
        <f>"-66"</f>
        <v>-66</v>
      </c>
      <c r="I600" t="str">
        <f>"0198017"</f>
        <v>0198017</v>
      </c>
      <c r="J600" t="str">
        <f>"Yes"</f>
        <v>Yes</v>
      </c>
      <c r="K600" t="str">
        <f>"Quebec"</f>
        <v>Quebec</v>
      </c>
      <c r="N600" t="s">
        <v>404</v>
      </c>
    </row>
    <row r="601" spans="1:14" x14ac:dyDescent="0.25">
      <c r="A601" t="str">
        <f>"Alec"</f>
        <v>Alec</v>
      </c>
      <c r="B601" t="str">
        <f>"Garand"</f>
        <v>Garand</v>
      </c>
      <c r="C601" t="str">
        <f>"Zenshin"</f>
        <v>Zenshin</v>
      </c>
      <c r="D601" t="str">
        <f>"M"</f>
        <v>M</v>
      </c>
      <c r="E601" t="s">
        <v>27</v>
      </c>
      <c r="F601" t="s">
        <v>18</v>
      </c>
      <c r="G601" t="s">
        <v>25</v>
      </c>
      <c r="H601" t="str">
        <f>"-73"</f>
        <v>-73</v>
      </c>
      <c r="I601" t="str">
        <f>"0169892"</f>
        <v>0169892</v>
      </c>
      <c r="J601" t="str">
        <f>"Yes"</f>
        <v>Yes</v>
      </c>
      <c r="K601" t="str">
        <f>"Quebec"</f>
        <v>Quebec</v>
      </c>
      <c r="M601" t="str">
        <f>"2 divisions : U18 + U21/Sénior B"</f>
        <v>2 divisions : U18 + U21/Sénior B</v>
      </c>
      <c r="N601" t="s">
        <v>412</v>
      </c>
    </row>
    <row r="602" spans="1:14" x14ac:dyDescent="0.25">
      <c r="A602" t="str">
        <f>"German Dario"</f>
        <v>German Dario</v>
      </c>
      <c r="B602" t="str">
        <f>"Gonzalez Martinez"</f>
        <v>Gonzalez Martinez</v>
      </c>
      <c r="C602" t="str">
        <f>"Saint-Hyacinthe"</f>
        <v>Saint-Hyacinthe</v>
      </c>
      <c r="D602" t="str">
        <f>"M"</f>
        <v>M</v>
      </c>
      <c r="E602" t="s">
        <v>17</v>
      </c>
      <c r="F602" t="s">
        <v>15</v>
      </c>
      <c r="G602" t="str">
        <f>"U18"</f>
        <v>U18</v>
      </c>
      <c r="H602" t="str">
        <f>"-73"</f>
        <v>-73</v>
      </c>
      <c r="I602" t="str">
        <f>"0414050"</f>
        <v>0414050</v>
      </c>
      <c r="J602" t="str">
        <f>"Yes"</f>
        <v>Yes</v>
      </c>
      <c r="K602" t="str">
        <f>"Quebec"</f>
        <v>Quebec</v>
      </c>
      <c r="N602" t="s">
        <v>265</v>
      </c>
    </row>
    <row r="603" spans="1:14" hidden="1" x14ac:dyDescent="0.25">
      <c r="A603" t="str">
        <f>"Jeremie"</f>
        <v>Jeremie</v>
      </c>
      <c r="B603" t="str">
        <f>"Ngombi"</f>
        <v>Ngombi</v>
      </c>
      <c r="C603" t="str">
        <f>"Shidokan"</f>
        <v>Shidokan</v>
      </c>
      <c r="D603" t="str">
        <f>"M"</f>
        <v>M</v>
      </c>
      <c r="E603" t="s">
        <v>32</v>
      </c>
      <c r="F603" t="s">
        <v>107</v>
      </c>
      <c r="G603" t="str">
        <f>"U16"</f>
        <v>U16</v>
      </c>
      <c r="H603" t="str">
        <f>"-66"</f>
        <v>-66</v>
      </c>
      <c r="I603" t="str">
        <f>"0178452"</f>
        <v>0178452</v>
      </c>
      <c r="J603" t="str">
        <f>"Yes"</f>
        <v>Yes</v>
      </c>
      <c r="K603" t="str">
        <f>"Quebec"</f>
        <v>Quebec</v>
      </c>
      <c r="N603" t="s">
        <v>404</v>
      </c>
    </row>
    <row r="604" spans="1:14" x14ac:dyDescent="0.25">
      <c r="A604" t="str">
        <f>"Anne"</f>
        <v>Anne</v>
      </c>
      <c r="B604" t="str">
        <f>"Garneau"</f>
        <v>Garneau</v>
      </c>
      <c r="C604" t="str">
        <f>"Lévis"</f>
        <v>Lévis</v>
      </c>
      <c r="D604" t="str">
        <f>"F"</f>
        <v>F</v>
      </c>
      <c r="E604" t="s">
        <v>27</v>
      </c>
      <c r="F604" t="s">
        <v>18</v>
      </c>
      <c r="G604" t="str">
        <f>"U18"</f>
        <v>U18</v>
      </c>
      <c r="H604" t="str">
        <f>"-63"</f>
        <v>-63</v>
      </c>
      <c r="I604" t="str">
        <f>"0180119"</f>
        <v>0180119</v>
      </c>
      <c r="J604" t="str">
        <f>"Yes"</f>
        <v>Yes</v>
      </c>
      <c r="K604" t="str">
        <f>"Quebec"</f>
        <v>Quebec</v>
      </c>
      <c r="M604" t="str">
        <f>""</f>
        <v/>
      </c>
      <c r="N604" t="s">
        <v>443</v>
      </c>
    </row>
    <row r="605" spans="1:14" x14ac:dyDescent="0.25">
      <c r="A605" t="str">
        <f>"Marianne"</f>
        <v>Marianne</v>
      </c>
      <c r="B605" t="str">
        <f>"Roux"</f>
        <v>Roux</v>
      </c>
      <c r="C605" t="str">
        <f>"St-Jean Bosco"</f>
        <v>St-Jean Bosco</v>
      </c>
      <c r="D605" t="str">
        <f>"F"</f>
        <v>F</v>
      </c>
      <c r="E605" t="s">
        <v>17</v>
      </c>
      <c r="F605" t="s">
        <v>30</v>
      </c>
      <c r="G605" t="s">
        <v>25</v>
      </c>
      <c r="H605" t="str">
        <f>"-63"</f>
        <v>-63</v>
      </c>
      <c r="I605" t="str">
        <f>"0197470"</f>
        <v>0197470</v>
      </c>
      <c r="J605" t="str">
        <f>"Yes"</f>
        <v>Yes</v>
      </c>
      <c r="K605" t="str">
        <f>"Quebec"</f>
        <v>Quebec</v>
      </c>
      <c r="M605" t="str">
        <f>"2 divisions : U18 + U21/Sénior B"</f>
        <v>2 divisions : U18 + U21/Sénior B</v>
      </c>
      <c r="N605" t="s">
        <v>443</v>
      </c>
    </row>
    <row r="606" spans="1:14" hidden="1" x14ac:dyDescent="0.25">
      <c r="A606" t="str">
        <f>"Camelia"</f>
        <v>Camelia</v>
      </c>
      <c r="B606" t="str">
        <f>"Mezaour"</f>
        <v>Mezaour</v>
      </c>
      <c r="C606" t="str">
        <f>"St-Leonard"</f>
        <v>St-Leonard</v>
      </c>
      <c r="D606" t="str">
        <f>"F"</f>
        <v>F</v>
      </c>
      <c r="E606" t="s">
        <v>71</v>
      </c>
      <c r="F606" t="s">
        <v>18</v>
      </c>
      <c r="G606" t="str">
        <f>"U21/Senior B"</f>
        <v>U21/Senior B</v>
      </c>
      <c r="H606" t="str">
        <f>"-63"</f>
        <v>-63</v>
      </c>
      <c r="I606" t="str">
        <f>"0195786"</f>
        <v>0195786</v>
      </c>
      <c r="J606" t="str">
        <f>"Yes"</f>
        <v>Yes</v>
      </c>
      <c r="K606" t="str">
        <f>"Quebec"</f>
        <v>Quebec</v>
      </c>
      <c r="M606" t="str">
        <f>""</f>
        <v/>
      </c>
      <c r="N606" t="s">
        <v>382</v>
      </c>
    </row>
    <row r="607" spans="1:14" hidden="1" x14ac:dyDescent="0.25">
      <c r="A607" t="str">
        <f>"André"</f>
        <v>André</v>
      </c>
      <c r="B607" t="str">
        <f>"Roy"</f>
        <v>Roy</v>
      </c>
      <c r="C607" t="str">
        <f>"Vieille Capitale"</f>
        <v>Vieille Capitale</v>
      </c>
      <c r="D607" t="str">
        <f>"M"</f>
        <v>M</v>
      </c>
      <c r="E607" t="s">
        <v>448</v>
      </c>
      <c r="F607" t="s">
        <v>30</v>
      </c>
      <c r="G607" t="str">
        <f>"Master"</f>
        <v>Master</v>
      </c>
      <c r="H607" t="str">
        <f>"-81"</f>
        <v>-81</v>
      </c>
      <c r="I607" t="str">
        <f>"9390"</f>
        <v>9390</v>
      </c>
      <c r="J607" t="str">
        <f>"Yes"</f>
        <v>Yes</v>
      </c>
      <c r="K607" t="str">
        <f>"Quebec"</f>
        <v>Quebec</v>
      </c>
      <c r="N607" t="s">
        <v>449</v>
      </c>
    </row>
    <row r="608" spans="1:14" hidden="1" x14ac:dyDescent="0.25">
      <c r="A608" t="s">
        <v>450</v>
      </c>
      <c r="B608" t="s">
        <v>451</v>
      </c>
      <c r="C608" t="s">
        <v>189</v>
      </c>
      <c r="D608" t="s">
        <v>44</v>
      </c>
      <c r="E608" t="s">
        <v>306</v>
      </c>
      <c r="F608" t="s">
        <v>18</v>
      </c>
      <c r="G608" t="s">
        <v>85</v>
      </c>
      <c r="H608" s="1">
        <v>-70</v>
      </c>
      <c r="I608" t="s">
        <v>452</v>
      </c>
      <c r="J608" t="s">
        <v>46</v>
      </c>
      <c r="K608" t="s">
        <v>47</v>
      </c>
      <c r="M608" t="s">
        <v>453</v>
      </c>
      <c r="N608" t="s">
        <v>454</v>
      </c>
    </row>
    <row r="609" spans="1:14" hidden="1" x14ac:dyDescent="0.25">
      <c r="A609" t="str">
        <f>"Laurent William"</f>
        <v>Laurent William</v>
      </c>
      <c r="B609" t="str">
        <f>"Roy"</f>
        <v>Roy</v>
      </c>
      <c r="C609" t="str">
        <f>"St-Paul l'Ermite"</f>
        <v>St-Paul l'Ermite</v>
      </c>
      <c r="D609" t="str">
        <f>"M"</f>
        <v>M</v>
      </c>
      <c r="E609" t="s">
        <v>60</v>
      </c>
      <c r="F609" t="s">
        <v>15</v>
      </c>
      <c r="G609" t="str">
        <f>"U12"</f>
        <v>U12</v>
      </c>
      <c r="H609" t="str">
        <f>"-27"</f>
        <v>-27</v>
      </c>
      <c r="I609" t="str">
        <f>"0225724"</f>
        <v>0225724</v>
      </c>
      <c r="J609" t="str">
        <f>"Yes"</f>
        <v>Yes</v>
      </c>
      <c r="K609" t="str">
        <f>"Quebec"</f>
        <v>Quebec</v>
      </c>
      <c r="M609" t="str">
        <f>""</f>
        <v/>
      </c>
      <c r="N609" t="s">
        <v>23</v>
      </c>
    </row>
    <row r="610" spans="1:14" hidden="1" x14ac:dyDescent="0.25">
      <c r="A610" t="str">
        <f>"Esteban"</f>
        <v>Esteban</v>
      </c>
      <c r="B610" t="str">
        <f>"Roy"</f>
        <v>Roy</v>
      </c>
      <c r="C610" t="str">
        <f>"Seïkidokan"</f>
        <v>Seïkidokan</v>
      </c>
      <c r="D610" t="str">
        <f>"M"</f>
        <v>M</v>
      </c>
      <c r="E610" t="s">
        <v>21</v>
      </c>
      <c r="F610" t="s">
        <v>22</v>
      </c>
      <c r="G610" t="str">
        <f>"U12"</f>
        <v>U12</v>
      </c>
      <c r="H610" t="str">
        <f>"-33"</f>
        <v>-33</v>
      </c>
      <c r="I610" t="str">
        <f>"0228014"</f>
        <v>0228014</v>
      </c>
      <c r="J610" t="str">
        <f>"Yes"</f>
        <v>Yes</v>
      </c>
      <c r="K610" t="str">
        <f>"Quebec"</f>
        <v>Quebec</v>
      </c>
      <c r="M610" t="str">
        <f>""</f>
        <v/>
      </c>
      <c r="N610" t="s">
        <v>23</v>
      </c>
    </row>
    <row r="611" spans="1:14" hidden="1" x14ac:dyDescent="0.25">
      <c r="A611" t="str">
        <f>"Justin"</f>
        <v>Justin</v>
      </c>
      <c r="B611" t="str">
        <f>"Lizotte"</f>
        <v>Lizotte</v>
      </c>
      <c r="C611" t="str">
        <f>"La Pocatiere"</f>
        <v>La Pocatiere</v>
      </c>
      <c r="D611" t="str">
        <f>"M"</f>
        <v>M</v>
      </c>
      <c r="E611" t="s">
        <v>38</v>
      </c>
      <c r="F611" t="s">
        <v>64</v>
      </c>
      <c r="G611" t="str">
        <f>"U14"</f>
        <v>U14</v>
      </c>
      <c r="H611" t="str">
        <f>"-50"</f>
        <v>-50</v>
      </c>
      <c r="I611" t="str">
        <f>"0207160"</f>
        <v>0207160</v>
      </c>
      <c r="J611" t="str">
        <f>"Yes"</f>
        <v>Yes</v>
      </c>
      <c r="K611" t="str">
        <f>"Quebec"</f>
        <v>Quebec</v>
      </c>
      <c r="M611" t="str">
        <f>""</f>
        <v/>
      </c>
      <c r="N611" t="s">
        <v>442</v>
      </c>
    </row>
    <row r="612" spans="1:14" hidden="1" x14ac:dyDescent="0.25">
      <c r="A612" t="str">
        <f>"Philippe"</f>
        <v>Philippe</v>
      </c>
      <c r="B612" t="str">
        <f>"Rosset-Balcer"</f>
        <v>Rosset-Balcer</v>
      </c>
      <c r="C612" t="str">
        <f>"Shidokan"</f>
        <v>Shidokan</v>
      </c>
      <c r="D612" t="str">
        <f>"M"</f>
        <v>M</v>
      </c>
      <c r="E612" t="s">
        <v>32</v>
      </c>
      <c r="F612" t="s">
        <v>107</v>
      </c>
      <c r="G612" t="str">
        <f>"U16"</f>
        <v>U16</v>
      </c>
      <c r="H612" t="str">
        <f>"-66"</f>
        <v>-66</v>
      </c>
      <c r="I612" t="str">
        <f>"0194880"</f>
        <v>0194880</v>
      </c>
      <c r="J612" t="str">
        <f>"Yes"</f>
        <v>Yes</v>
      </c>
      <c r="K612" t="str">
        <f>"Quebec"</f>
        <v>Quebec</v>
      </c>
      <c r="M612" t="str">
        <f>""</f>
        <v/>
      </c>
      <c r="N612" t="s">
        <v>404</v>
      </c>
    </row>
    <row r="613" spans="1:14" hidden="1" x14ac:dyDescent="0.25">
      <c r="A613" t="str">
        <f>"Isaac"</f>
        <v>Isaac</v>
      </c>
      <c r="B613" t="str">
        <f>"Savard"</f>
        <v>Savard</v>
      </c>
      <c r="C613" t="str">
        <f>"Judokas Jonquière"</f>
        <v>Judokas Jonquière</v>
      </c>
      <c r="D613" t="str">
        <f>"M"</f>
        <v>M</v>
      </c>
      <c r="E613" t="s">
        <v>24</v>
      </c>
      <c r="F613" t="s">
        <v>18</v>
      </c>
      <c r="G613" t="str">
        <f>"U16"</f>
        <v>U16</v>
      </c>
      <c r="H613" t="str">
        <f>"-66"</f>
        <v>-66</v>
      </c>
      <c r="I613" t="str">
        <f>"0175985"</f>
        <v>0175985</v>
      </c>
      <c r="J613" t="str">
        <f>"Yes"</f>
        <v>Yes</v>
      </c>
      <c r="K613" t="str">
        <f>"Quebec"</f>
        <v>Quebec</v>
      </c>
      <c r="N613" t="s">
        <v>404</v>
      </c>
    </row>
    <row r="614" spans="1:14" x14ac:dyDescent="0.25">
      <c r="A614" t="str">
        <f>"Guillaume"</f>
        <v>Guillaume</v>
      </c>
      <c r="B614" t="str">
        <f>"Gaulin"</f>
        <v>Gaulin</v>
      </c>
      <c r="C614" t="s">
        <v>81</v>
      </c>
      <c r="D614" t="str">
        <f>"M"</f>
        <v>M</v>
      </c>
      <c r="E614" t="s">
        <v>17</v>
      </c>
      <c r="F614" t="s">
        <v>18</v>
      </c>
      <c r="G614" t="s">
        <v>25</v>
      </c>
      <c r="H614" t="str">
        <f>"-73"</f>
        <v>-73</v>
      </c>
      <c r="I614" t="str">
        <f>"0138661"</f>
        <v>0138661</v>
      </c>
      <c r="J614" t="str">
        <f>"Yes"</f>
        <v>Yes</v>
      </c>
      <c r="K614" t="str">
        <f>"Quebec"</f>
        <v>Quebec</v>
      </c>
      <c r="M614" t="str">
        <f>"2 divisions : U18 + U21/Sénior B"</f>
        <v>2 divisions : U18 + U21/Sénior B</v>
      </c>
      <c r="N614" t="s">
        <v>412</v>
      </c>
    </row>
    <row r="615" spans="1:14" x14ac:dyDescent="0.25">
      <c r="A615" t="str">
        <f>"Victor"</f>
        <v>Victor</v>
      </c>
      <c r="B615" t="str">
        <f>"Gougeon-Gazé"</f>
        <v>Gougeon-Gazé</v>
      </c>
      <c r="C615" t="str">
        <f>"Shidokan"</f>
        <v>Shidokan</v>
      </c>
      <c r="D615" t="str">
        <f>"M"</f>
        <v>M</v>
      </c>
      <c r="E615" t="s">
        <v>27</v>
      </c>
      <c r="F615" t="s">
        <v>18</v>
      </c>
      <c r="G615" t="s">
        <v>25</v>
      </c>
      <c r="H615" t="str">
        <f>"-73"</f>
        <v>-73</v>
      </c>
      <c r="I615" t="str">
        <f>"0154674"</f>
        <v>0154674</v>
      </c>
      <c r="J615" t="str">
        <f>"Yes"</f>
        <v>Yes</v>
      </c>
      <c r="K615" t="str">
        <f>"Quebec"</f>
        <v>Quebec</v>
      </c>
      <c r="M615" t="str">
        <f>"2 divisions : U18 + U21/Sénior B"</f>
        <v>2 divisions : U18 + U21/Sénior B</v>
      </c>
      <c r="N615" t="s">
        <v>412</v>
      </c>
    </row>
    <row r="616" spans="1:14" hidden="1" x14ac:dyDescent="0.25">
      <c r="A616" t="str">
        <f>"Ilhem"</f>
        <v>Ilhem</v>
      </c>
      <c r="B616" t="str">
        <f>"Ouali"</f>
        <v>Ouali</v>
      </c>
      <c r="C616" t="str">
        <f>"St-Leonard"</f>
        <v>St-Leonard</v>
      </c>
      <c r="D616" t="str">
        <f>"F"</f>
        <v>F</v>
      </c>
      <c r="E616" t="s">
        <v>71</v>
      </c>
      <c r="F616" t="s">
        <v>30</v>
      </c>
      <c r="G616" t="s">
        <v>72</v>
      </c>
      <c r="H616" t="str">
        <f>"-63"</f>
        <v>-63</v>
      </c>
      <c r="I616" t="str">
        <f>"0145627"</f>
        <v>0145627</v>
      </c>
      <c r="J616" t="str">
        <f>"Yes"</f>
        <v>Yes</v>
      </c>
      <c r="K616" t="str">
        <f>"Quebec"</f>
        <v>Quebec</v>
      </c>
      <c r="M616" t="str">
        <f>"2 divisions : U21/Senior B + Senior A"</f>
        <v>2 divisions : U21/Senior B + Senior A</v>
      </c>
      <c r="N616" t="s">
        <v>382</v>
      </c>
    </row>
    <row r="617" spans="1:14" hidden="1" x14ac:dyDescent="0.25">
      <c r="A617" t="s">
        <v>455</v>
      </c>
      <c r="B617" t="s">
        <v>456</v>
      </c>
      <c r="C617" t="s">
        <v>129</v>
      </c>
      <c r="D617" t="s">
        <v>44</v>
      </c>
      <c r="E617" t="s">
        <v>17</v>
      </c>
      <c r="F617" t="s">
        <v>30</v>
      </c>
      <c r="G617" t="s">
        <v>72</v>
      </c>
      <c r="H617">
        <v>-63</v>
      </c>
      <c r="I617" t="s">
        <v>457</v>
      </c>
      <c r="J617" t="s">
        <v>46</v>
      </c>
      <c r="K617" t="s">
        <v>47</v>
      </c>
      <c r="M617" t="s">
        <v>35</v>
      </c>
      <c r="N617" t="s">
        <v>382</v>
      </c>
    </row>
    <row r="618" spans="1:14" hidden="1" x14ac:dyDescent="0.25">
      <c r="A618" t="str">
        <f>"Jacob"</f>
        <v>Jacob</v>
      </c>
      <c r="B618" t="str">
        <f>"Marcoux"</f>
        <v>Marcoux</v>
      </c>
      <c r="C618" t="str">
        <f>"Sept-Iles"</f>
        <v>Sept-Iles</v>
      </c>
      <c r="D618" t="str">
        <f>"M"</f>
        <v>M</v>
      </c>
      <c r="E618" t="s">
        <v>38</v>
      </c>
      <c r="F618" t="s">
        <v>39</v>
      </c>
      <c r="G618" t="str">
        <f>"U14"</f>
        <v>U14</v>
      </c>
      <c r="H618" t="str">
        <f>"-50"</f>
        <v>-50</v>
      </c>
      <c r="I618" t="str">
        <f>"0191310"</f>
        <v>0191310</v>
      </c>
      <c r="J618" t="str">
        <f>"Yes"</f>
        <v>Yes</v>
      </c>
      <c r="K618" t="str">
        <f>"Quebec"</f>
        <v>Quebec</v>
      </c>
      <c r="N618" t="s">
        <v>442</v>
      </c>
    </row>
    <row r="619" spans="1:14" hidden="1" x14ac:dyDescent="0.25">
      <c r="A619" s="6" t="str">
        <f>"Zachary"</f>
        <v>Zachary</v>
      </c>
      <c r="B619" t="str">
        <f>"Cyr"</f>
        <v>Cyr</v>
      </c>
      <c r="C619" t="str">
        <f>"Sept-Iles"</f>
        <v>Sept-Iles</v>
      </c>
      <c r="D619" t="str">
        <f>"M"</f>
        <v>M</v>
      </c>
      <c r="E619" t="s">
        <v>24</v>
      </c>
      <c r="F619" t="s">
        <v>18</v>
      </c>
      <c r="G619" t="str">
        <f>"U16"</f>
        <v>U16</v>
      </c>
      <c r="H619" t="str">
        <f>"-66"</f>
        <v>-66</v>
      </c>
      <c r="I619" t="str">
        <f>"0145831"</f>
        <v>0145831</v>
      </c>
      <c r="J619" t="str">
        <f>"Yes"</f>
        <v>Yes</v>
      </c>
      <c r="K619" t="str">
        <f>"Quebec"</f>
        <v>Quebec</v>
      </c>
      <c r="N619" t="s">
        <v>404</v>
      </c>
    </row>
    <row r="620" spans="1:14" x14ac:dyDescent="0.25">
      <c r="A620" t="str">
        <f>"Xavier"</f>
        <v>Xavier</v>
      </c>
      <c r="B620" t="str">
        <f>"Rosa"</f>
        <v>Rosa</v>
      </c>
      <c r="C620" t="str">
        <f>"Judo Monde"</f>
        <v>Judo Monde</v>
      </c>
      <c r="D620" t="str">
        <f>"M"</f>
        <v>M</v>
      </c>
      <c r="E620" t="s">
        <v>17</v>
      </c>
      <c r="F620" t="s">
        <v>15</v>
      </c>
      <c r="G620" t="str">
        <f>"U18"</f>
        <v>U18</v>
      </c>
      <c r="H620" t="str">
        <f>"-73"</f>
        <v>-73</v>
      </c>
      <c r="I620" t="str">
        <f>"0407581"</f>
        <v>0407581</v>
      </c>
      <c r="J620" t="str">
        <f>"Yes"</f>
        <v>Yes</v>
      </c>
      <c r="K620" t="str">
        <f>"Quebec"</f>
        <v>Quebec</v>
      </c>
      <c r="N620" t="s">
        <v>265</v>
      </c>
    </row>
    <row r="621" spans="1:14" hidden="1" x14ac:dyDescent="0.25">
      <c r="A621" t="str">
        <f>"Mika"</f>
        <v>Mika</v>
      </c>
      <c r="B621" t="str">
        <f>"Gagné"</f>
        <v>Gagné</v>
      </c>
      <c r="C621" t="str">
        <f>"Saint-Hyacinthe"</f>
        <v>Saint-Hyacinthe</v>
      </c>
      <c r="D621" t="str">
        <f>"F"</f>
        <v>F</v>
      </c>
      <c r="E621" t="s">
        <v>32</v>
      </c>
      <c r="F621" t="s">
        <v>64</v>
      </c>
      <c r="G621" t="str">
        <f>"U16"</f>
        <v>U16</v>
      </c>
      <c r="H621" t="str">
        <f>"-63"</f>
        <v>-63</v>
      </c>
      <c r="I621" t="str">
        <f>"0407619"</f>
        <v>0407619</v>
      </c>
      <c r="J621" t="str">
        <f>"Yes"</f>
        <v>Yes</v>
      </c>
      <c r="K621" t="str">
        <f>"Quebec"</f>
        <v>Quebec</v>
      </c>
      <c r="N621" t="s">
        <v>417</v>
      </c>
    </row>
    <row r="622" spans="1:14" x14ac:dyDescent="0.25">
      <c r="A622" t="str">
        <f>"Marie-Pier"</f>
        <v>Marie-Pier</v>
      </c>
      <c r="B622" t="str">
        <f>"Labrie"</f>
        <v>Labrie</v>
      </c>
      <c r="C622" t="str">
        <f>"Sept-Iles"</f>
        <v>Sept-Iles</v>
      </c>
      <c r="D622" t="str">
        <f>"F"</f>
        <v>F</v>
      </c>
      <c r="E622" t="s">
        <v>27</v>
      </c>
      <c r="F622" t="s">
        <v>18</v>
      </c>
      <c r="G622" t="str">
        <f>"U18"</f>
        <v>U18</v>
      </c>
      <c r="H622" t="str">
        <f>"-63"</f>
        <v>-63</v>
      </c>
      <c r="I622" t="str">
        <f>"0191305"</f>
        <v>0191305</v>
      </c>
      <c r="J622" t="str">
        <f>"Yes"</f>
        <v>Yes</v>
      </c>
      <c r="K622" t="str">
        <f>"Quebec"</f>
        <v>Quebec</v>
      </c>
      <c r="N622" t="s">
        <v>443</v>
      </c>
    </row>
    <row r="623" spans="1:14" hidden="1" x14ac:dyDescent="0.25">
      <c r="A623" t="str">
        <f>"Akim"</f>
        <v>Akim</v>
      </c>
      <c r="B623" t="str">
        <f>"Morin"</f>
        <v>Morin</v>
      </c>
      <c r="C623" t="str">
        <f>"Saint-Hyacinthe"</f>
        <v>Saint-Hyacinthe</v>
      </c>
      <c r="D623" t="str">
        <f>"M"</f>
        <v>M</v>
      </c>
      <c r="E623" t="s">
        <v>38</v>
      </c>
      <c r="F623" t="s">
        <v>39</v>
      </c>
      <c r="G623" t="str">
        <f>"U14"</f>
        <v>U14</v>
      </c>
      <c r="H623" t="str">
        <f>"-50"</f>
        <v>-50</v>
      </c>
      <c r="I623" t="str">
        <f>"0217913"</f>
        <v>0217913</v>
      </c>
      <c r="J623" t="str">
        <f>"Yes"</f>
        <v>Yes</v>
      </c>
      <c r="K623" t="str">
        <f>"Quebec"</f>
        <v>Quebec</v>
      </c>
      <c r="M623" t="str">
        <f>""</f>
        <v/>
      </c>
      <c r="N623" t="s">
        <v>442</v>
      </c>
    </row>
    <row r="624" spans="1:14" x14ac:dyDescent="0.25">
      <c r="A624" t="str">
        <f>"Elodie"</f>
        <v>Elodie</v>
      </c>
      <c r="B624" t="str">
        <f>"Massicotte"</f>
        <v>Massicotte</v>
      </c>
      <c r="C624" t="str">
        <f>"Seïkidokan"</f>
        <v>Seïkidokan</v>
      </c>
      <c r="D624" t="str">
        <f>"F"</f>
        <v>F</v>
      </c>
      <c r="E624" t="s">
        <v>27</v>
      </c>
      <c r="F624" t="s">
        <v>64</v>
      </c>
      <c r="G624" t="str">
        <f>"U18"</f>
        <v>U18</v>
      </c>
      <c r="H624" t="str">
        <f>"-63"</f>
        <v>-63</v>
      </c>
      <c r="I624" t="str">
        <f>"0232051"</f>
        <v>0232051</v>
      </c>
      <c r="J624" t="str">
        <f>"Yes"</f>
        <v>Yes</v>
      </c>
      <c r="K624" t="str">
        <f>"Quebec"</f>
        <v>Quebec</v>
      </c>
      <c r="M624" t="str">
        <f>""</f>
        <v/>
      </c>
      <c r="N624" t="s">
        <v>443</v>
      </c>
    </row>
    <row r="625" spans="1:14" hidden="1" x14ac:dyDescent="0.25">
      <c r="A625" t="str">
        <f>"Daven"</f>
        <v>Daven</v>
      </c>
      <c r="B625" t="str">
        <f>"Santeusaino"</f>
        <v>Santeusaino</v>
      </c>
      <c r="C625" t="str">
        <f>"Judokas Jonquière"</f>
        <v>Judokas Jonquière</v>
      </c>
      <c r="D625" t="str">
        <f>"M"</f>
        <v>M</v>
      </c>
      <c r="E625" t="s">
        <v>60</v>
      </c>
      <c r="F625" t="s">
        <v>37</v>
      </c>
      <c r="G625" t="str">
        <f>"U12"</f>
        <v>U12</v>
      </c>
      <c r="H625" t="str">
        <f>"-25"</f>
        <v>-25</v>
      </c>
      <c r="I625" t="str">
        <f>"0216391"</f>
        <v>0216391</v>
      </c>
      <c r="J625" t="str">
        <f>"Yes"</f>
        <v>Yes</v>
      </c>
      <c r="K625" t="str">
        <f>"Quebec"</f>
        <v>Quebec</v>
      </c>
      <c r="N625" t="s">
        <v>23</v>
      </c>
    </row>
    <row r="626" spans="1:14" hidden="1" x14ac:dyDescent="0.25">
      <c r="A626" t="s">
        <v>458</v>
      </c>
      <c r="B626" t="s">
        <v>459</v>
      </c>
      <c r="C626" t="s">
        <v>460</v>
      </c>
      <c r="D626" t="s">
        <v>52</v>
      </c>
      <c r="E626" t="s">
        <v>207</v>
      </c>
      <c r="F626" t="s">
        <v>30</v>
      </c>
      <c r="G626" t="s">
        <v>53</v>
      </c>
      <c r="H626">
        <v>-90</v>
      </c>
      <c r="I626" t="s">
        <v>461</v>
      </c>
      <c r="J626" t="s">
        <v>46</v>
      </c>
      <c r="K626" t="s">
        <v>47</v>
      </c>
      <c r="M626" t="s">
        <v>253</v>
      </c>
      <c r="N626" t="s">
        <v>462</v>
      </c>
    </row>
    <row r="627" spans="1:14" hidden="1" x14ac:dyDescent="0.25">
      <c r="A627" t="s">
        <v>463</v>
      </c>
      <c r="B627" t="s">
        <v>464</v>
      </c>
      <c r="C627" t="s">
        <v>81</v>
      </c>
      <c r="D627" t="s">
        <v>52</v>
      </c>
      <c r="E627" t="s">
        <v>17</v>
      </c>
      <c r="F627" t="s">
        <v>18</v>
      </c>
      <c r="G627" t="s">
        <v>72</v>
      </c>
      <c r="H627">
        <v>-81</v>
      </c>
      <c r="I627" t="s">
        <v>465</v>
      </c>
      <c r="J627" t="s">
        <v>46</v>
      </c>
      <c r="K627" t="s">
        <v>47</v>
      </c>
      <c r="M627" t="s">
        <v>35</v>
      </c>
      <c r="N627" t="s">
        <v>413</v>
      </c>
    </row>
    <row r="628" spans="1:14" hidden="1" x14ac:dyDescent="0.25">
      <c r="A628" t="str">
        <f>"Julien"</f>
        <v>Julien</v>
      </c>
      <c r="B628" t="str">
        <f>"Pelletier"</f>
        <v>Pelletier</v>
      </c>
      <c r="C628" t="str">
        <f>"Tani "</f>
        <v xml:space="preserve">Tani </v>
      </c>
      <c r="D628" t="str">
        <f>"M"</f>
        <v>M</v>
      </c>
      <c r="E628" t="s">
        <v>14</v>
      </c>
      <c r="F628" t="s">
        <v>39</v>
      </c>
      <c r="G628" t="str">
        <f>"U14"</f>
        <v>U14</v>
      </c>
      <c r="H628" t="str">
        <f>"-50"</f>
        <v>-50</v>
      </c>
      <c r="I628" t="str">
        <f>"0198154"</f>
        <v>0198154</v>
      </c>
      <c r="J628" t="str">
        <f>"Yes"</f>
        <v>Yes</v>
      </c>
      <c r="K628" t="str">
        <f>"Quebec"</f>
        <v>Quebec</v>
      </c>
      <c r="N628" t="s">
        <v>442</v>
      </c>
    </row>
    <row r="629" spans="1:14" hidden="1" x14ac:dyDescent="0.25">
      <c r="A629" t="str">
        <f>"Maxime"</f>
        <v>Maxime</v>
      </c>
      <c r="B629" t="str">
        <f>"Plantevin"</f>
        <v>Plantevin</v>
      </c>
      <c r="C629" t="str">
        <f>"Shidokan"</f>
        <v>Shidokan</v>
      </c>
      <c r="D629" t="str">
        <f>"M"</f>
        <v>M</v>
      </c>
      <c r="E629" t="s">
        <v>38</v>
      </c>
      <c r="F629" t="s">
        <v>64</v>
      </c>
      <c r="G629" t="str">
        <f>"U14"</f>
        <v>U14</v>
      </c>
      <c r="H629" t="str">
        <f>"-50"</f>
        <v>-50</v>
      </c>
      <c r="I629" t="str">
        <f>"0162525"</f>
        <v>0162525</v>
      </c>
      <c r="J629" t="str">
        <f>"Yes"</f>
        <v>Yes</v>
      </c>
      <c r="K629" t="str">
        <f>"Quebec"</f>
        <v>Quebec</v>
      </c>
      <c r="N629" t="s">
        <v>442</v>
      </c>
    </row>
    <row r="630" spans="1:14" hidden="1" x14ac:dyDescent="0.25">
      <c r="A630" t="str">
        <f>"Faniry-Michaël"</f>
        <v>Faniry-Michaël</v>
      </c>
      <c r="B630" t="str">
        <f>"Adrianmanana"</f>
        <v>Adrianmanana</v>
      </c>
      <c r="C630" t="str">
        <f>"Saint-Hyacinthe"</f>
        <v>Saint-Hyacinthe</v>
      </c>
      <c r="D630" t="str">
        <f>"M"</f>
        <v>M</v>
      </c>
      <c r="E630" t="s">
        <v>24</v>
      </c>
      <c r="F630" t="s">
        <v>39</v>
      </c>
      <c r="G630" t="str">
        <f>"U16"</f>
        <v>U16</v>
      </c>
      <c r="H630" t="str">
        <f>"-73"</f>
        <v>-73</v>
      </c>
      <c r="I630" t="str">
        <f>"0171577"</f>
        <v>0171577</v>
      </c>
      <c r="J630" t="str">
        <f>"Yes"</f>
        <v>Yes</v>
      </c>
      <c r="K630" t="str">
        <f>"Quebec"</f>
        <v>Quebec</v>
      </c>
      <c r="N630" t="s">
        <v>466</v>
      </c>
    </row>
    <row r="631" spans="1:14" hidden="1" x14ac:dyDescent="0.25">
      <c r="A631" t="s">
        <v>467</v>
      </c>
      <c r="B631" t="s">
        <v>468</v>
      </c>
      <c r="C631" t="s">
        <v>211</v>
      </c>
      <c r="D631" t="s">
        <v>52</v>
      </c>
      <c r="E631" t="s">
        <v>71</v>
      </c>
      <c r="F631" t="s">
        <v>18</v>
      </c>
      <c r="G631" t="s">
        <v>85</v>
      </c>
      <c r="H631" s="1">
        <v>-90</v>
      </c>
      <c r="I631" t="s">
        <v>469</v>
      </c>
      <c r="J631" t="s">
        <v>46</v>
      </c>
      <c r="K631" t="s">
        <v>47</v>
      </c>
      <c r="M631" t="s">
        <v>157</v>
      </c>
      <c r="N631" t="s">
        <v>441</v>
      </c>
    </row>
    <row r="632" spans="1:14" hidden="1" x14ac:dyDescent="0.25">
      <c r="A632" t="str">
        <f>"Boris"</f>
        <v>Boris</v>
      </c>
      <c r="B632" t="str">
        <f>"Bergeron"</f>
        <v>Bergeron</v>
      </c>
      <c r="C632" t="str">
        <f>"Shidokan"</f>
        <v>Shidokan</v>
      </c>
      <c r="D632" t="str">
        <f>"M"</f>
        <v>M</v>
      </c>
      <c r="E632" t="s">
        <v>71</v>
      </c>
      <c r="F632" t="s">
        <v>18</v>
      </c>
      <c r="G632" t="str">
        <f>"U21/Senior B"</f>
        <v>U21/Senior B</v>
      </c>
      <c r="H632" t="str">
        <f>"-81"</f>
        <v>-81</v>
      </c>
      <c r="I632" t="str">
        <f>"0151192"</f>
        <v>0151192</v>
      </c>
      <c r="J632" t="str">
        <f>"Yes"</f>
        <v>Yes</v>
      </c>
      <c r="K632" t="str">
        <f>"Quebec"</f>
        <v>Quebec</v>
      </c>
      <c r="N632" t="s">
        <v>413</v>
      </c>
    </row>
    <row r="633" spans="1:14" hidden="1" x14ac:dyDescent="0.25">
      <c r="A633" t="str">
        <f>"Emy"</f>
        <v>Emy</v>
      </c>
      <c r="B633" t="str">
        <f>"Haineault"</f>
        <v>Haineault</v>
      </c>
      <c r="C633" t="str">
        <f>"Boucherville"</f>
        <v>Boucherville</v>
      </c>
      <c r="D633" t="str">
        <f>"F"</f>
        <v>F</v>
      </c>
      <c r="E633" t="s">
        <v>38</v>
      </c>
      <c r="F633" t="s">
        <v>64</v>
      </c>
      <c r="G633" t="str">
        <f>"U14"</f>
        <v>U14</v>
      </c>
      <c r="H633" t="str">
        <f>"-57"</f>
        <v>-57</v>
      </c>
      <c r="I633" t="str">
        <f>"0220883"</f>
        <v>0220883</v>
      </c>
      <c r="J633" t="str">
        <f>"Yes"</f>
        <v>Yes</v>
      </c>
      <c r="K633" t="str">
        <f>"Quebec"</f>
        <v>Quebec</v>
      </c>
      <c r="N633" t="s">
        <v>410</v>
      </c>
    </row>
    <row r="634" spans="1:14" hidden="1" x14ac:dyDescent="0.25">
      <c r="A634" t="str">
        <f>"Xavier"</f>
        <v>Xavier</v>
      </c>
      <c r="B634" t="str">
        <f>"Aznar-Petit"</f>
        <v>Aznar-Petit</v>
      </c>
      <c r="C634" t="str">
        <f>"Saint-Hubert"</f>
        <v>Saint-Hubert</v>
      </c>
      <c r="D634" t="str">
        <f>"M"</f>
        <v>M</v>
      </c>
      <c r="E634" t="s">
        <v>24</v>
      </c>
      <c r="F634" t="s">
        <v>39</v>
      </c>
      <c r="G634" t="str">
        <f>"U16"</f>
        <v>U16</v>
      </c>
      <c r="H634">
        <v>-73</v>
      </c>
      <c r="I634" t="str">
        <f>"0188542"</f>
        <v>0188542</v>
      </c>
      <c r="J634" t="str">
        <f>"Yes"</f>
        <v>Yes</v>
      </c>
      <c r="K634" t="str">
        <f>"Quebec"</f>
        <v>Quebec</v>
      </c>
      <c r="M634" t="str">
        <f>""</f>
        <v/>
      </c>
      <c r="N634" t="s">
        <v>466</v>
      </c>
    </row>
    <row r="635" spans="1:14" hidden="1" x14ac:dyDescent="0.25">
      <c r="A635" t="str">
        <f>"Tristan"</f>
        <v>Tristan</v>
      </c>
      <c r="B635" t="str">
        <f>"Tremblay"</f>
        <v>Tremblay</v>
      </c>
      <c r="C635" t="str">
        <f>"Seiko"</f>
        <v>Seiko</v>
      </c>
      <c r="D635" t="str">
        <f>"M"</f>
        <v>M</v>
      </c>
      <c r="E635" t="s">
        <v>38</v>
      </c>
      <c r="F635" t="s">
        <v>64</v>
      </c>
      <c r="G635" t="str">
        <f>"U14"</f>
        <v>U14</v>
      </c>
      <c r="H635" t="str">
        <f>"-50"</f>
        <v>-50</v>
      </c>
      <c r="I635" t="str">
        <f>"0179667"</f>
        <v>0179667</v>
      </c>
      <c r="J635" t="str">
        <f>"Yes"</f>
        <v>Yes</v>
      </c>
      <c r="K635" t="str">
        <f>"Quebec"</f>
        <v>Quebec</v>
      </c>
      <c r="N635" t="s">
        <v>442</v>
      </c>
    </row>
    <row r="636" spans="1:14" hidden="1" x14ac:dyDescent="0.25">
      <c r="A636" t="str">
        <f>"Omar"</f>
        <v>Omar</v>
      </c>
      <c r="B636" t="str">
        <f>"Mazouzi"</f>
        <v>Mazouzi</v>
      </c>
      <c r="C636" t="str">
        <f>"La Pocatiere"</f>
        <v>La Pocatiere</v>
      </c>
      <c r="D636" t="str">
        <f>"M"</f>
        <v>M</v>
      </c>
      <c r="E636" t="s">
        <v>14</v>
      </c>
      <c r="F636" t="s">
        <v>15</v>
      </c>
      <c r="G636" t="str">
        <f>"U14"</f>
        <v>U14</v>
      </c>
      <c r="H636" t="str">
        <f>"-55"</f>
        <v>-55</v>
      </c>
      <c r="I636" t="str">
        <f>"0221351"</f>
        <v>0221351</v>
      </c>
      <c r="J636" t="str">
        <f>"Yes"</f>
        <v>Yes</v>
      </c>
      <c r="K636" t="str">
        <f>"Quebec"</f>
        <v>Quebec</v>
      </c>
      <c r="N636" t="s">
        <v>470</v>
      </c>
    </row>
    <row r="637" spans="1:14" hidden="1" x14ac:dyDescent="0.25">
      <c r="A637" t="str">
        <f>"Pierre-Luc"</f>
        <v>Pierre-Luc</v>
      </c>
      <c r="B637" t="str">
        <f>"Seguin"</f>
        <v>Seguin</v>
      </c>
      <c r="C637" t="str">
        <f>"Albatros"</f>
        <v>Albatros</v>
      </c>
      <c r="D637" t="str">
        <f>"M"</f>
        <v>M</v>
      </c>
      <c r="E637" t="s">
        <v>60</v>
      </c>
      <c r="F637" t="s">
        <v>22</v>
      </c>
      <c r="G637" t="str">
        <f>"U12"</f>
        <v>U12</v>
      </c>
      <c r="H637" t="str">
        <f>"-42"</f>
        <v>-42</v>
      </c>
      <c r="I637" t="str">
        <f>"0215940"</f>
        <v>0215940</v>
      </c>
      <c r="J637" t="str">
        <f>"Yes"</f>
        <v>Yes</v>
      </c>
      <c r="K637" t="str">
        <f>"Quebec"</f>
        <v>Quebec</v>
      </c>
      <c r="N637" t="s">
        <v>23</v>
      </c>
    </row>
    <row r="638" spans="1:14" hidden="1" x14ac:dyDescent="0.25">
      <c r="A638" t="str">
        <f>"Munkhjin"</f>
        <v>Munkhjin</v>
      </c>
      <c r="B638" t="str">
        <f>"Batdorj"</f>
        <v>Batdorj</v>
      </c>
      <c r="C638" t="str">
        <f>"Shidokan"</f>
        <v>Shidokan</v>
      </c>
      <c r="D638" t="str">
        <f>"M"</f>
        <v>M</v>
      </c>
      <c r="E638" t="s">
        <v>24</v>
      </c>
      <c r="F638" t="s">
        <v>18</v>
      </c>
      <c r="G638" t="s">
        <v>151</v>
      </c>
      <c r="H638" t="str">
        <f>"-73"</f>
        <v>-73</v>
      </c>
      <c r="I638" t="str">
        <f>"0181144"</f>
        <v>0181144</v>
      </c>
      <c r="J638" t="str">
        <f>"Yes"</f>
        <v>Yes</v>
      </c>
      <c r="K638" t="str">
        <f>"Quebec"</f>
        <v>Quebec</v>
      </c>
      <c r="M638" t="str">
        <f>"2 divisions : U16 + U18"</f>
        <v>2 divisions : U16 + U18</v>
      </c>
      <c r="N638" t="s">
        <v>466</v>
      </c>
    </row>
    <row r="639" spans="1:14" x14ac:dyDescent="0.25">
      <c r="A639" t="str">
        <f>"Thomas"</f>
        <v>Thomas</v>
      </c>
      <c r="B639" t="str">
        <f>"Henin"</f>
        <v>Henin</v>
      </c>
      <c r="C639" t="str">
        <f>"Kime-Waza  Joliette"</f>
        <v>Kime-Waza  Joliette</v>
      </c>
      <c r="D639" t="str">
        <f>"M"</f>
        <v>M</v>
      </c>
      <c r="E639" t="s">
        <v>27</v>
      </c>
      <c r="F639" t="s">
        <v>39</v>
      </c>
      <c r="G639" t="str">
        <f>"U18"</f>
        <v>U18</v>
      </c>
      <c r="H639" t="str">
        <f>"-73"</f>
        <v>-73</v>
      </c>
      <c r="I639" t="str">
        <f>"0171969"</f>
        <v>0171969</v>
      </c>
      <c r="J639" t="str">
        <f>"Yes"</f>
        <v>Yes</v>
      </c>
      <c r="K639" t="str">
        <f>"Quebec"</f>
        <v>Quebec</v>
      </c>
      <c r="N639" t="s">
        <v>412</v>
      </c>
    </row>
    <row r="640" spans="1:14" hidden="1" x14ac:dyDescent="0.25">
      <c r="A640" t="str">
        <f>"Loane"</f>
        <v>Loane</v>
      </c>
      <c r="B640" t="str">
        <f>"Gill"</f>
        <v>Gill</v>
      </c>
      <c r="C640" t="str">
        <f>"Métropolitain"</f>
        <v>Métropolitain</v>
      </c>
      <c r="D640" t="str">
        <f>"F"</f>
        <v>F</v>
      </c>
      <c r="E640" t="s">
        <v>32</v>
      </c>
      <c r="F640" t="s">
        <v>64</v>
      </c>
      <c r="G640" t="str">
        <f>"U16"</f>
        <v>U16</v>
      </c>
      <c r="H640" t="str">
        <f>"-63"</f>
        <v>-63</v>
      </c>
      <c r="I640" t="str">
        <f>"0223674"</f>
        <v>0223674</v>
      </c>
      <c r="J640" t="str">
        <f>"Yes"</f>
        <v>Yes</v>
      </c>
      <c r="K640" t="str">
        <f>"Quebec"</f>
        <v>Quebec</v>
      </c>
      <c r="M640" t="str">
        <f>""</f>
        <v/>
      </c>
      <c r="N640" t="s">
        <v>417</v>
      </c>
    </row>
    <row r="641" spans="1:14" hidden="1" x14ac:dyDescent="0.25">
      <c r="A641" t="str">
        <f>"Eliot"</f>
        <v>Eliot</v>
      </c>
      <c r="B641" t="str">
        <f>"Beaulac"</f>
        <v>Beaulac</v>
      </c>
      <c r="C641" t="str">
        <f>"Seïkidokan"</f>
        <v>Seïkidokan</v>
      </c>
      <c r="D641" t="str">
        <f>"M"</f>
        <v>M</v>
      </c>
      <c r="E641" t="s">
        <v>24</v>
      </c>
      <c r="F641" t="s">
        <v>18</v>
      </c>
      <c r="G641" t="s">
        <v>151</v>
      </c>
      <c r="H641" t="str">
        <f>"-73"</f>
        <v>-73</v>
      </c>
      <c r="I641" t="str">
        <f>"0187998"</f>
        <v>0187998</v>
      </c>
      <c r="J641" t="str">
        <f>"Yes"</f>
        <v>Yes</v>
      </c>
      <c r="K641" t="str">
        <f>"Quebec"</f>
        <v>Quebec</v>
      </c>
      <c r="M641" t="str">
        <f>"2 divisions : U16 + U18"</f>
        <v>2 divisions : U16 + U18</v>
      </c>
      <c r="N641" t="s">
        <v>466</v>
      </c>
    </row>
    <row r="642" spans="1:14" x14ac:dyDescent="0.25">
      <c r="A642" t="str">
        <f>"Olivier"</f>
        <v>Olivier</v>
      </c>
      <c r="B642" t="str">
        <f>"Michaud"</f>
        <v>Michaud</v>
      </c>
      <c r="C642" t="str">
        <f>"La Pocatiere"</f>
        <v>La Pocatiere</v>
      </c>
      <c r="D642" t="str">
        <f>"M"</f>
        <v>M</v>
      </c>
      <c r="E642" t="s">
        <v>27</v>
      </c>
      <c r="F642" t="s">
        <v>18</v>
      </c>
      <c r="G642" t="str">
        <f>"U18"</f>
        <v>U18</v>
      </c>
      <c r="H642" t="str">
        <f>"-73"</f>
        <v>-73</v>
      </c>
      <c r="I642" t="str">
        <f>"0196994"</f>
        <v>0196994</v>
      </c>
      <c r="J642" t="str">
        <f>"Yes"</f>
        <v>Yes</v>
      </c>
      <c r="K642" t="str">
        <f>"Quebec"</f>
        <v>Quebec</v>
      </c>
      <c r="N642" t="s">
        <v>412</v>
      </c>
    </row>
    <row r="643" spans="1:14" hidden="1" x14ac:dyDescent="0.25">
      <c r="A643" t="str">
        <f>"Justin"</f>
        <v>Justin</v>
      </c>
      <c r="B643" t="str">
        <f>"Coulombe"</f>
        <v>Coulombe</v>
      </c>
      <c r="C643" t="str">
        <f>"Sept-Iles"</f>
        <v>Sept-Iles</v>
      </c>
      <c r="D643" t="str">
        <f>"M"</f>
        <v>M</v>
      </c>
      <c r="E643" t="s">
        <v>71</v>
      </c>
      <c r="F643" t="s">
        <v>18</v>
      </c>
      <c r="G643" t="s">
        <v>85</v>
      </c>
      <c r="H643" s="1" t="str">
        <f>"-90"</f>
        <v>-90</v>
      </c>
      <c r="I643" t="str">
        <f>"0191291"</f>
        <v>0191291</v>
      </c>
      <c r="J643" t="str">
        <f>"Yes"</f>
        <v>Yes</v>
      </c>
      <c r="K643" t="str">
        <f>"Quebec"</f>
        <v>Quebec</v>
      </c>
      <c r="M643" t="str">
        <f>"2 divisions : U21/Senior B + Senior A"</f>
        <v>2 divisions : U21/Senior B + Senior A</v>
      </c>
      <c r="N643" t="s">
        <v>441</v>
      </c>
    </row>
    <row r="644" spans="1:14" hidden="1" x14ac:dyDescent="0.25">
      <c r="A644" t="str">
        <f>"Yassine"</f>
        <v>Yassine</v>
      </c>
      <c r="B644" t="str">
        <f>"Miled"</f>
        <v>Miled</v>
      </c>
      <c r="C644" t="str">
        <f>"Olympique"</f>
        <v>Olympique</v>
      </c>
      <c r="D644" t="str">
        <f>"M"</f>
        <v>M</v>
      </c>
      <c r="E644" t="s">
        <v>38</v>
      </c>
      <c r="F644" t="s">
        <v>37</v>
      </c>
      <c r="G644" t="str">
        <f>"U14"</f>
        <v>U14</v>
      </c>
      <c r="H644" t="str">
        <f>"-55"</f>
        <v>-55</v>
      </c>
      <c r="I644" t="str">
        <f>"0239627"</f>
        <v>0239627</v>
      </c>
      <c r="J644" t="str">
        <f>"Yes"</f>
        <v>Yes</v>
      </c>
      <c r="K644" t="str">
        <f>"Quebec"</f>
        <v>Quebec</v>
      </c>
      <c r="N644" t="s">
        <v>470</v>
      </c>
    </row>
    <row r="645" spans="1:14" hidden="1" x14ac:dyDescent="0.25">
      <c r="A645" t="str">
        <f>"Samson"</f>
        <v>Samson</v>
      </c>
      <c r="B645" t="str">
        <f>"Gill"</f>
        <v>Gill</v>
      </c>
      <c r="C645" t="str">
        <f>"Métropolitain"</f>
        <v>Métropolitain</v>
      </c>
      <c r="D645" t="str">
        <f>"M"</f>
        <v>M</v>
      </c>
      <c r="E645" t="s">
        <v>38</v>
      </c>
      <c r="F645" t="s">
        <v>64</v>
      </c>
      <c r="G645" t="str">
        <f>"U14"</f>
        <v>U14</v>
      </c>
      <c r="H645" t="str">
        <f>"-55"</f>
        <v>-55</v>
      </c>
      <c r="I645" t="str">
        <f>"0213818"</f>
        <v>0213818</v>
      </c>
      <c r="J645" t="str">
        <f>"Yes"</f>
        <v>Yes</v>
      </c>
      <c r="K645" t="str">
        <f>"Quebec"</f>
        <v>Quebec</v>
      </c>
      <c r="M645" t="s">
        <v>331</v>
      </c>
      <c r="N645" t="s">
        <v>471</v>
      </c>
    </row>
    <row r="646" spans="1:14" hidden="1" x14ac:dyDescent="0.25">
      <c r="A646" t="str">
        <f>"Agathe"</f>
        <v>Agathe</v>
      </c>
      <c r="B646" t="str">
        <f>"Labonte"</f>
        <v>Labonte</v>
      </c>
      <c r="C646" t="str">
        <f>"Kime-Waza  Joliette"</f>
        <v>Kime-Waza  Joliette</v>
      </c>
      <c r="D646" t="str">
        <f>"F"</f>
        <v>F</v>
      </c>
      <c r="E646" t="s">
        <v>32</v>
      </c>
      <c r="F646" t="s">
        <v>64</v>
      </c>
      <c r="G646" t="str">
        <f>"U16"</f>
        <v>U16</v>
      </c>
      <c r="H646" t="str">
        <f>"-63"</f>
        <v>-63</v>
      </c>
      <c r="I646" t="str">
        <f>"0224115"</f>
        <v>0224115</v>
      </c>
      <c r="J646" t="str">
        <f>"Yes"</f>
        <v>Yes</v>
      </c>
      <c r="K646" t="str">
        <f>"Quebec"</f>
        <v>Quebec</v>
      </c>
      <c r="N646" t="s">
        <v>417</v>
      </c>
    </row>
    <row r="647" spans="1:14" x14ac:dyDescent="0.25">
      <c r="A647" t="s">
        <v>472</v>
      </c>
      <c r="B647" t="s">
        <v>473</v>
      </c>
      <c r="C647" t="s">
        <v>99</v>
      </c>
      <c r="D647" t="s">
        <v>44</v>
      </c>
      <c r="E647" t="s">
        <v>24</v>
      </c>
      <c r="F647" t="s">
        <v>18</v>
      </c>
      <c r="G647" t="s">
        <v>25</v>
      </c>
      <c r="H647">
        <v>-63</v>
      </c>
      <c r="I647" t="s">
        <v>474</v>
      </c>
      <c r="J647" t="s">
        <v>46</v>
      </c>
      <c r="K647" t="s">
        <v>47</v>
      </c>
      <c r="M647" t="s">
        <v>48</v>
      </c>
      <c r="N647" t="s">
        <v>443</v>
      </c>
    </row>
    <row r="648" spans="1:14" hidden="1" x14ac:dyDescent="0.25">
      <c r="A648" t="str">
        <f>"Lara"</f>
        <v>Lara</v>
      </c>
      <c r="B648" t="str">
        <f>"Normil"</f>
        <v>Normil</v>
      </c>
      <c r="C648" t="str">
        <f>"Métropolitain"</f>
        <v>Métropolitain</v>
      </c>
      <c r="D648" t="str">
        <f>"F"</f>
        <v>F</v>
      </c>
      <c r="E648" t="s">
        <v>24</v>
      </c>
      <c r="F648" t="s">
        <v>18</v>
      </c>
      <c r="G648" t="s">
        <v>151</v>
      </c>
      <c r="H648" t="str">
        <f>"-63"</f>
        <v>-63</v>
      </c>
      <c r="I648" t="str">
        <f>"0217568"</f>
        <v>0217568</v>
      </c>
      <c r="J648" t="str">
        <f>"Yes"</f>
        <v>Yes</v>
      </c>
      <c r="K648" t="str">
        <f>"Quebec"</f>
        <v>Quebec</v>
      </c>
      <c r="M648" t="str">
        <f>"2 divisions : U16 + U18"</f>
        <v>2 divisions : U16 + U18</v>
      </c>
      <c r="N648" t="s">
        <v>417</v>
      </c>
    </row>
    <row r="649" spans="1:14" x14ac:dyDescent="0.25">
      <c r="A649" t="str">
        <f>"Loika"</f>
        <v>Loika</v>
      </c>
      <c r="B649" t="str">
        <f>"Robertson"</f>
        <v>Robertson</v>
      </c>
      <c r="C649" t="str">
        <f>"St-Jean Bosco"</f>
        <v>St-Jean Bosco</v>
      </c>
      <c r="D649" t="str">
        <f>"F"</f>
        <v>F</v>
      </c>
      <c r="E649" s="3" t="s">
        <v>32</v>
      </c>
      <c r="F649" t="s">
        <v>39</v>
      </c>
      <c r="G649" t="s">
        <v>25</v>
      </c>
      <c r="H649" t="str">
        <f>"-63"</f>
        <v>-63</v>
      </c>
      <c r="I649" t="str">
        <f>"0227760"</f>
        <v>0227760</v>
      </c>
      <c r="J649" t="str">
        <f>"Yes"</f>
        <v>Yes</v>
      </c>
      <c r="K649" t="str">
        <f>"Quebec"</f>
        <v>Quebec</v>
      </c>
      <c r="M649" t="s">
        <v>475</v>
      </c>
      <c r="N649" t="s">
        <v>443</v>
      </c>
    </row>
    <row r="650" spans="1:14" hidden="1" x14ac:dyDescent="0.25">
      <c r="A650" t="str">
        <f>"Loika"</f>
        <v>Loika</v>
      </c>
      <c r="B650" t="str">
        <f>"Robertson"</f>
        <v>Robertson</v>
      </c>
      <c r="C650" t="str">
        <f>"St-Jean Bosco"</f>
        <v>St-Jean Bosco</v>
      </c>
      <c r="D650" t="str">
        <f>"F"</f>
        <v>F</v>
      </c>
      <c r="E650" t="s">
        <v>32</v>
      </c>
      <c r="F650" t="s">
        <v>39</v>
      </c>
      <c r="G650" t="str">
        <f>"U16"</f>
        <v>U16</v>
      </c>
      <c r="H650" t="str">
        <f>"-63"</f>
        <v>-63</v>
      </c>
      <c r="I650" t="str">
        <f>"0227760"</f>
        <v>0227760</v>
      </c>
      <c r="J650" t="str">
        <f>"Yes"</f>
        <v>Yes</v>
      </c>
      <c r="K650" t="str">
        <f>"Quebec"</f>
        <v>Quebec</v>
      </c>
      <c r="M650" t="s">
        <v>475</v>
      </c>
      <c r="N650" t="s">
        <v>417</v>
      </c>
    </row>
    <row r="651" spans="1:14" x14ac:dyDescent="0.25">
      <c r="A651" t="str">
        <f>"Justine"</f>
        <v>Justine</v>
      </c>
      <c r="B651" t="str">
        <f>"Simard"</f>
        <v>Simard</v>
      </c>
      <c r="C651" t="str">
        <f>"Métropolitain inc."</f>
        <v>Métropolitain inc.</v>
      </c>
      <c r="D651" t="str">
        <f>"F"</f>
        <v>F</v>
      </c>
      <c r="E651" t="s">
        <v>24</v>
      </c>
      <c r="F651" t="s">
        <v>39</v>
      </c>
      <c r="G651" t="s">
        <v>25</v>
      </c>
      <c r="H651" t="str">
        <f>"-63"</f>
        <v>-63</v>
      </c>
      <c r="I651" t="str">
        <f>"0238300"</f>
        <v>0238300</v>
      </c>
      <c r="J651" t="str">
        <f>"Yes"</f>
        <v>Yes</v>
      </c>
      <c r="K651" t="str">
        <f>"Quebec"</f>
        <v>Quebec</v>
      </c>
      <c r="N651" t="s">
        <v>443</v>
      </c>
    </row>
    <row r="652" spans="1:14" hidden="1" x14ac:dyDescent="0.25">
      <c r="A652" t="str">
        <f>"Sandy"</f>
        <v>Sandy</v>
      </c>
      <c r="B652" t="str">
        <f>"Sirois"</f>
        <v>Sirois</v>
      </c>
      <c r="C652" t="str">
        <f>"Seïkidokan"</f>
        <v>Seïkidokan</v>
      </c>
      <c r="D652" t="str">
        <f>"F"</f>
        <v>F</v>
      </c>
      <c r="E652" t="s">
        <v>476</v>
      </c>
      <c r="F652" t="s">
        <v>64</v>
      </c>
      <c r="G652" t="str">
        <f>"U21/Senior Mudansha"</f>
        <v>U21/Senior Mudansha</v>
      </c>
      <c r="H652" t="str">
        <f>"-63"</f>
        <v>-63</v>
      </c>
      <c r="I652" t="str">
        <f>"0231581"</f>
        <v>0231581</v>
      </c>
      <c r="J652" t="str">
        <f>"Yes"</f>
        <v>Yes</v>
      </c>
      <c r="K652" t="str">
        <f>"Quebec"</f>
        <v>Quebec</v>
      </c>
      <c r="M652" t="str">
        <f>""</f>
        <v/>
      </c>
      <c r="N652" t="s">
        <v>352</v>
      </c>
    </row>
    <row r="653" spans="1:14" x14ac:dyDescent="0.25">
      <c r="A653" t="str">
        <f>"Thibault"</f>
        <v>Thibault</v>
      </c>
      <c r="B653" t="str">
        <f>"Piat"</f>
        <v>Piat</v>
      </c>
      <c r="C653" t="str">
        <f>"Rikidokan"</f>
        <v>Rikidokan</v>
      </c>
      <c r="D653" t="str">
        <f>"M"</f>
        <v>M</v>
      </c>
      <c r="E653" t="s">
        <v>27</v>
      </c>
      <c r="F653" t="s">
        <v>18</v>
      </c>
      <c r="G653" t="str">
        <f>"U18"</f>
        <v>U18</v>
      </c>
      <c r="H653" t="str">
        <f>"-73"</f>
        <v>-73</v>
      </c>
      <c r="I653" t="str">
        <f>"0189709"</f>
        <v>0189709</v>
      </c>
      <c r="J653" t="str">
        <f>"Yes"</f>
        <v>Yes</v>
      </c>
      <c r="K653" t="str">
        <f>"Quebec"</f>
        <v>Quebec</v>
      </c>
      <c r="N653" t="s">
        <v>412</v>
      </c>
    </row>
    <row r="654" spans="1:14" hidden="1" x14ac:dyDescent="0.25">
      <c r="A654" t="str">
        <f>"Henri"</f>
        <v>Henri</v>
      </c>
      <c r="B654" t="str">
        <f>"Smith"</f>
        <v>Smith</v>
      </c>
      <c r="C654" t="str">
        <f>"Vieille Capitale"</f>
        <v>Vieille Capitale</v>
      </c>
      <c r="D654" t="str">
        <f>"M"</f>
        <v>M</v>
      </c>
      <c r="E654" t="s">
        <v>21</v>
      </c>
      <c r="F654" t="s">
        <v>90</v>
      </c>
      <c r="G654" t="str">
        <f>"U12"</f>
        <v>U12</v>
      </c>
      <c r="H654" t="str">
        <f>"-55"</f>
        <v>-55</v>
      </c>
      <c r="I654" t="str">
        <f>"0232989"</f>
        <v>0232989</v>
      </c>
      <c r="J654" t="str">
        <f>"Yes"</f>
        <v>Yes</v>
      </c>
      <c r="K654" t="str">
        <f>"Quebec"</f>
        <v>Quebec</v>
      </c>
      <c r="N654" t="s">
        <v>23</v>
      </c>
    </row>
    <row r="655" spans="1:14" hidden="1" x14ac:dyDescent="0.25">
      <c r="A655" t="str">
        <f>"Emeric"</f>
        <v>Emeric</v>
      </c>
      <c r="B655" t="str">
        <f>"Burton"</f>
        <v>Burton</v>
      </c>
      <c r="C655" t="str">
        <f>"Saint-Hubert"</f>
        <v>Saint-Hubert</v>
      </c>
      <c r="D655" t="str">
        <f>"M"</f>
        <v>M</v>
      </c>
      <c r="E655" t="s">
        <v>24</v>
      </c>
      <c r="F655" t="s">
        <v>39</v>
      </c>
      <c r="G655" t="str">
        <f>"U16"</f>
        <v>U16</v>
      </c>
      <c r="H655" t="str">
        <f>"-73"</f>
        <v>-73</v>
      </c>
      <c r="I655" t="str">
        <f>"0188554"</f>
        <v>0188554</v>
      </c>
      <c r="J655" t="str">
        <f>"Yes"</f>
        <v>Yes</v>
      </c>
      <c r="K655" t="str">
        <f>"Quebec"</f>
        <v>Quebec</v>
      </c>
      <c r="N655" t="s">
        <v>466</v>
      </c>
    </row>
    <row r="656" spans="1:14" hidden="1" x14ac:dyDescent="0.25">
      <c r="A656" t="str">
        <f>"Philippe"</f>
        <v>Philippe</v>
      </c>
      <c r="B656" t="str">
        <f>"Glaude"</f>
        <v>Glaude</v>
      </c>
      <c r="C656" t="str">
        <f>"Haut-Richelieu"</f>
        <v>Haut-Richelieu</v>
      </c>
      <c r="D656" t="str">
        <f>"M"</f>
        <v>M</v>
      </c>
      <c r="E656" t="s">
        <v>14</v>
      </c>
      <c r="F656" t="s">
        <v>64</v>
      </c>
      <c r="G656" t="str">
        <f>"U14"</f>
        <v>U14</v>
      </c>
      <c r="H656" s="2" t="str">
        <f>"-55"</f>
        <v>-55</v>
      </c>
      <c r="I656" t="str">
        <f>"0212410"</f>
        <v>0212410</v>
      </c>
      <c r="J656" t="str">
        <f>"Yes"</f>
        <v>Yes</v>
      </c>
      <c r="K656" t="str">
        <f>"Quebec"</f>
        <v>Quebec</v>
      </c>
      <c r="N656" t="s">
        <v>471</v>
      </c>
    </row>
    <row r="657" spans="1:14" hidden="1" x14ac:dyDescent="0.25">
      <c r="A657" t="str">
        <f>"Justine"</f>
        <v>Justine</v>
      </c>
      <c r="B657" t="str">
        <f>"Simard"</f>
        <v>Simard</v>
      </c>
      <c r="C657" t="str">
        <f>"Métropolitain inc."</f>
        <v>Métropolitain inc.</v>
      </c>
      <c r="D657" t="str">
        <f>"F"</f>
        <v>F</v>
      </c>
      <c r="E657" t="s">
        <v>24</v>
      </c>
      <c r="F657" t="s">
        <v>39</v>
      </c>
      <c r="G657" t="s">
        <v>151</v>
      </c>
      <c r="H657" t="str">
        <f>"-63"</f>
        <v>-63</v>
      </c>
      <c r="I657" t="str">
        <f>"0238300"</f>
        <v>0238300</v>
      </c>
      <c r="J657" t="str">
        <f>"Yes"</f>
        <v>Yes</v>
      </c>
      <c r="K657" t="str">
        <f>"Quebec"</f>
        <v>Quebec</v>
      </c>
      <c r="N657" t="s">
        <v>417</v>
      </c>
    </row>
    <row r="658" spans="1:14" hidden="1" x14ac:dyDescent="0.25">
      <c r="A658" t="str">
        <f>"Tchad"</f>
        <v>Tchad</v>
      </c>
      <c r="B658" t="str">
        <f>"Soucy"</f>
        <v>Soucy</v>
      </c>
      <c r="C658" t="str">
        <f>"Rikidokan"</f>
        <v>Rikidokan</v>
      </c>
      <c r="D658" t="str">
        <f>"M"</f>
        <v>M</v>
      </c>
      <c r="E658" t="s">
        <v>21</v>
      </c>
      <c r="F658" t="s">
        <v>90</v>
      </c>
      <c r="G658" t="str">
        <f>"U12"</f>
        <v>U12</v>
      </c>
      <c r="H658" t="str">
        <f>"-36"</f>
        <v>-36</v>
      </c>
      <c r="I658" t="str">
        <f>"0187643"</f>
        <v>0187643</v>
      </c>
      <c r="J658" t="str">
        <f>"Yes"</f>
        <v>Yes</v>
      </c>
      <c r="K658" t="str">
        <f>"Quebec"</f>
        <v>Quebec</v>
      </c>
      <c r="N658" t="s">
        <v>23</v>
      </c>
    </row>
    <row r="659" spans="1:14" x14ac:dyDescent="0.25">
      <c r="A659" t="str">
        <f>"Justine"</f>
        <v>Justine</v>
      </c>
      <c r="B659" t="str">
        <f>"Simard"</f>
        <v>Simard</v>
      </c>
      <c r="C659" t="str">
        <f>"Métropolitain"</f>
        <v>Métropolitain</v>
      </c>
      <c r="D659" t="str">
        <f>"F"</f>
        <v>F</v>
      </c>
      <c r="E659" t="s">
        <v>24</v>
      </c>
      <c r="F659" t="s">
        <v>39</v>
      </c>
      <c r="G659" t="s">
        <v>25</v>
      </c>
      <c r="H659" t="str">
        <f>"-63"</f>
        <v>-63</v>
      </c>
      <c r="I659" t="str">
        <f>"0238300"</f>
        <v>0238300</v>
      </c>
      <c r="J659" t="str">
        <f>"Yes"</f>
        <v>Yes</v>
      </c>
      <c r="K659" t="str">
        <f>"Quebec"</f>
        <v>Quebec</v>
      </c>
      <c r="M659" t="str">
        <f>"2 divisions : U16 + U18"</f>
        <v>2 divisions : U16 + U18</v>
      </c>
      <c r="N659" t="s">
        <v>443</v>
      </c>
    </row>
    <row r="660" spans="1:14" hidden="1" x14ac:dyDescent="0.25">
      <c r="A660" t="s">
        <v>57</v>
      </c>
      <c r="B660" t="s">
        <v>477</v>
      </c>
      <c r="C660" t="s">
        <v>202</v>
      </c>
      <c r="D660" t="s">
        <v>52</v>
      </c>
      <c r="E660" t="s">
        <v>71</v>
      </c>
      <c r="F660" t="s">
        <v>18</v>
      </c>
      <c r="G660" t="s">
        <v>85</v>
      </c>
      <c r="H660" s="1">
        <v>-90</v>
      </c>
      <c r="I660" t="s">
        <v>478</v>
      </c>
      <c r="J660" t="s">
        <v>46</v>
      </c>
      <c r="K660" t="s">
        <v>47</v>
      </c>
      <c r="M660" t="s">
        <v>157</v>
      </c>
      <c r="N660" t="s">
        <v>441</v>
      </c>
    </row>
    <row r="661" spans="1:14" hidden="1" x14ac:dyDescent="0.25">
      <c r="A661" t="str">
        <f>"Charles-Alexandre"</f>
        <v>Charles-Alexandre</v>
      </c>
      <c r="B661" t="str">
        <f>"Melançon"</f>
        <v>Melançon</v>
      </c>
      <c r="C661" t="s">
        <v>258</v>
      </c>
      <c r="D661" t="str">
        <f>"M"</f>
        <v>M</v>
      </c>
      <c r="E661" t="s">
        <v>476</v>
      </c>
      <c r="F661" t="s">
        <v>30</v>
      </c>
      <c r="G661" t="str">
        <f>"Senior A"</f>
        <v>Senior A</v>
      </c>
      <c r="H661" s="1" t="str">
        <f>"-90"</f>
        <v>-90</v>
      </c>
      <c r="I661" t="str">
        <f>"0089994"</f>
        <v>0089994</v>
      </c>
      <c r="J661" t="str">
        <f>"Yes"</f>
        <v>Yes</v>
      </c>
      <c r="K661" t="str">
        <f>"Quebec"</f>
        <v>Quebec</v>
      </c>
      <c r="N661" t="s">
        <v>441</v>
      </c>
    </row>
    <row r="662" spans="1:14" x14ac:dyDescent="0.25">
      <c r="A662" t="s">
        <v>479</v>
      </c>
      <c r="B662" t="s">
        <v>480</v>
      </c>
      <c r="C662" t="s">
        <v>99</v>
      </c>
      <c r="D662" t="s">
        <v>52</v>
      </c>
      <c r="E662" t="s">
        <v>24</v>
      </c>
      <c r="F662" t="s">
        <v>18</v>
      </c>
      <c r="G662" t="s">
        <v>25</v>
      </c>
      <c r="H662">
        <v>-73</v>
      </c>
      <c r="I662" t="s">
        <v>481</v>
      </c>
      <c r="J662" t="s">
        <v>46</v>
      </c>
      <c r="K662" t="s">
        <v>47</v>
      </c>
      <c r="M662" t="s">
        <v>48</v>
      </c>
      <c r="N662" t="s">
        <v>412</v>
      </c>
    </row>
    <row r="663" spans="1:14" hidden="1" x14ac:dyDescent="0.25">
      <c r="A663" t="str">
        <f>"Jérôme"</f>
        <v>Jérôme</v>
      </c>
      <c r="B663" t="str">
        <f>"Champagne"</f>
        <v>Champagne</v>
      </c>
      <c r="C663" t="str">
        <f>"Varennes"</f>
        <v>Varennes</v>
      </c>
      <c r="D663" t="str">
        <f>"M"</f>
        <v>M</v>
      </c>
      <c r="E663" t="s">
        <v>71</v>
      </c>
      <c r="F663" t="s">
        <v>18</v>
      </c>
      <c r="G663" t="s">
        <v>72</v>
      </c>
      <c r="H663" t="str">
        <f>"-90"</f>
        <v>-90</v>
      </c>
      <c r="I663" t="str">
        <f>"0173008"</f>
        <v>0173008</v>
      </c>
      <c r="J663" t="str">
        <f>"Yes"</f>
        <v>Yes</v>
      </c>
      <c r="K663" t="str">
        <f>"Quebec"</f>
        <v>Quebec</v>
      </c>
      <c r="M663" t="str">
        <f>"2 divisions : U21/Senior B + Senior A"</f>
        <v>2 divisions : U21/Senior B + Senior A</v>
      </c>
      <c r="N663" t="s">
        <v>482</v>
      </c>
    </row>
    <row r="664" spans="1:14" hidden="1" x14ac:dyDescent="0.25">
      <c r="A664" t="str">
        <f>"Juliane"</f>
        <v>Juliane</v>
      </c>
      <c r="B664" t="str">
        <f>"St-Laurent"</f>
        <v>St-Laurent</v>
      </c>
      <c r="C664" t="str">
        <f>"Fermont"</f>
        <v>Fermont</v>
      </c>
      <c r="D664" t="str">
        <f>"F"</f>
        <v>F</v>
      </c>
      <c r="E664" t="s">
        <v>71</v>
      </c>
      <c r="F664" t="s">
        <v>18</v>
      </c>
      <c r="G664" t="str">
        <f>"U21/Senior B"</f>
        <v>U21/Senior B</v>
      </c>
      <c r="H664" t="str">
        <f>"-63"</f>
        <v>-63</v>
      </c>
      <c r="I664" t="str">
        <f>"0214720"</f>
        <v>0214720</v>
      </c>
      <c r="J664" t="str">
        <f>"Yes"</f>
        <v>Yes</v>
      </c>
      <c r="K664" t="str">
        <f>"Quebec"</f>
        <v>Quebec</v>
      </c>
      <c r="N664" t="s">
        <v>382</v>
      </c>
    </row>
    <row r="665" spans="1:14" hidden="1" x14ac:dyDescent="0.25">
      <c r="A665" t="str">
        <f>"Justine"</f>
        <v>Justine</v>
      </c>
      <c r="B665" t="str">
        <f>"Simard"</f>
        <v>Simard</v>
      </c>
      <c r="C665" t="str">
        <f>"Métropolitain"</f>
        <v>Métropolitain</v>
      </c>
      <c r="D665" t="str">
        <f>"F"</f>
        <v>F</v>
      </c>
      <c r="E665" t="s">
        <v>24</v>
      </c>
      <c r="F665" t="s">
        <v>39</v>
      </c>
      <c r="G665" t="s">
        <v>151</v>
      </c>
      <c r="H665" t="str">
        <f>"-63"</f>
        <v>-63</v>
      </c>
      <c r="I665" t="str">
        <f>"0238300"</f>
        <v>0238300</v>
      </c>
      <c r="J665" t="str">
        <f>"Yes"</f>
        <v>Yes</v>
      </c>
      <c r="K665" t="str">
        <f>"Quebec"</f>
        <v>Quebec</v>
      </c>
      <c r="M665" t="str">
        <f>"2 divisions : U16 + U18"</f>
        <v>2 divisions : U16 + U18</v>
      </c>
      <c r="N665" t="s">
        <v>417</v>
      </c>
    </row>
    <row r="666" spans="1:14" hidden="1" x14ac:dyDescent="0.25">
      <c r="A666" t="str">
        <f>"Simon"</f>
        <v>Simon</v>
      </c>
      <c r="B666" t="str">
        <f>"St-Pierre"</f>
        <v>St-Pierre</v>
      </c>
      <c r="C666" t="str">
        <f>"Fermont"</f>
        <v>Fermont</v>
      </c>
      <c r="D666" t="str">
        <f>"M"</f>
        <v>M</v>
      </c>
      <c r="E666" t="s">
        <v>483</v>
      </c>
      <c r="F666" t="s">
        <v>64</v>
      </c>
      <c r="G666" s="2" t="str">
        <f>"U21/Senior Mudansha"</f>
        <v>U21/Senior Mudansha</v>
      </c>
      <c r="H666" t="str">
        <f>"-81"</f>
        <v>-81</v>
      </c>
      <c r="I666" t="str">
        <f>"0208181"</f>
        <v>0208181</v>
      </c>
      <c r="J666" t="str">
        <f>"Yes"</f>
        <v>Yes</v>
      </c>
      <c r="K666" t="str">
        <f>"Quebec"</f>
        <v>Quebec</v>
      </c>
      <c r="N666" s="2" t="s">
        <v>402</v>
      </c>
    </row>
    <row r="667" spans="1:14" hidden="1" x14ac:dyDescent="0.25">
      <c r="A667" t="str">
        <f>"Noemie"</f>
        <v>Noemie</v>
      </c>
      <c r="B667" t="str">
        <f>"Delisle"</f>
        <v>Delisle</v>
      </c>
      <c r="C667" t="str">
        <f>"Asbestos-Danville"</f>
        <v>Asbestos-Danville</v>
      </c>
      <c r="D667" t="str">
        <f>"F"</f>
        <v>F</v>
      </c>
      <c r="E667" t="s">
        <v>207</v>
      </c>
      <c r="F667" t="s">
        <v>39</v>
      </c>
      <c r="G667" t="str">
        <f>"Senior A"</f>
        <v>Senior A</v>
      </c>
      <c r="H667" s="7" t="str">
        <f>"-70"</f>
        <v>-70</v>
      </c>
      <c r="I667" t="str">
        <f>"0090860"</f>
        <v>0090860</v>
      </c>
      <c r="J667" t="str">
        <f>"Yes"</f>
        <v>Yes</v>
      </c>
      <c r="K667" t="str">
        <f>"Quebec"</f>
        <v>Quebec</v>
      </c>
      <c r="N667" t="s">
        <v>454</v>
      </c>
    </row>
    <row r="668" spans="1:14" hidden="1" x14ac:dyDescent="0.25">
      <c r="A668" t="str">
        <f>"Sophia"</f>
        <v>Sophia</v>
      </c>
      <c r="B668" t="str">
        <f>"Camire-Wan"</f>
        <v>Camire-Wan</v>
      </c>
      <c r="C668" t="str">
        <f>"Asbestos-Danville"</f>
        <v>Asbestos-Danville</v>
      </c>
      <c r="D668" t="str">
        <f>"F"</f>
        <v>F</v>
      </c>
      <c r="E668" t="s">
        <v>306</v>
      </c>
      <c r="F668" t="s">
        <v>18</v>
      </c>
      <c r="G668" t="s">
        <v>72</v>
      </c>
      <c r="H668" t="str">
        <f>"-70"</f>
        <v>-70</v>
      </c>
      <c r="I668" t="str">
        <f>"0211816"</f>
        <v>0211816</v>
      </c>
      <c r="J668" t="str">
        <f>"Yes"</f>
        <v>Yes</v>
      </c>
      <c r="K668" t="str">
        <f>"Quebec"</f>
        <v>Quebec</v>
      </c>
      <c r="M668" t="s">
        <v>453</v>
      </c>
      <c r="N668" t="s">
        <v>484</v>
      </c>
    </row>
    <row r="669" spans="1:14" hidden="1" x14ac:dyDescent="0.25">
      <c r="A669" t="str">
        <f>"Philomène"</f>
        <v>Philomène</v>
      </c>
      <c r="B669" t="str">
        <f>"Talbot"</f>
        <v>Talbot</v>
      </c>
      <c r="C669" t="str">
        <f>"Baie-Comeau"</f>
        <v>Baie-Comeau</v>
      </c>
      <c r="D669" t="str">
        <f>"F"</f>
        <v>F</v>
      </c>
      <c r="E669" t="s">
        <v>60</v>
      </c>
      <c r="F669" t="s">
        <v>37</v>
      </c>
      <c r="G669" t="str">
        <f>"U12"</f>
        <v>U12</v>
      </c>
      <c r="H669" t="str">
        <f>"-30"</f>
        <v>-30</v>
      </c>
      <c r="I669" t="str">
        <f>"0184834"</f>
        <v>0184834</v>
      </c>
      <c r="J669" t="str">
        <f>"Yes"</f>
        <v>Yes</v>
      </c>
      <c r="K669" t="str">
        <f>"Quebec"</f>
        <v>Quebec</v>
      </c>
      <c r="N669" t="s">
        <v>91</v>
      </c>
    </row>
    <row r="670" spans="1:14" hidden="1" x14ac:dyDescent="0.25">
      <c r="A670" t="str">
        <f>"Machiel"</f>
        <v>Machiel</v>
      </c>
      <c r="B670" t="str">
        <f>"Talbot"</f>
        <v>Talbot</v>
      </c>
      <c r="C670" t="str">
        <f>"Baie-Comeau"</f>
        <v>Baie-Comeau</v>
      </c>
      <c r="D670" t="str">
        <f>"M"</f>
        <v>M</v>
      </c>
      <c r="E670" t="s">
        <v>21</v>
      </c>
      <c r="F670" t="s">
        <v>90</v>
      </c>
      <c r="G670" t="str">
        <f>"U12"</f>
        <v>U12</v>
      </c>
      <c r="H670" t="str">
        <f>"-39"</f>
        <v>-39</v>
      </c>
      <c r="I670" t="str">
        <f>"0184833"</f>
        <v>0184833</v>
      </c>
      <c r="J670" t="str">
        <f>"Yes"</f>
        <v>Yes</v>
      </c>
      <c r="K670" t="str">
        <f>"Quebec"</f>
        <v>Quebec</v>
      </c>
      <c r="N670" t="s">
        <v>23</v>
      </c>
    </row>
    <row r="671" spans="1:14" hidden="1" x14ac:dyDescent="0.25">
      <c r="A671" t="str">
        <f>"Luka"</f>
        <v>Luka</v>
      </c>
      <c r="B671" t="str">
        <f>"Tanghe"</f>
        <v>Tanghe</v>
      </c>
      <c r="C671" t="str">
        <f>"Rikidokan"</f>
        <v>Rikidokan</v>
      </c>
      <c r="D671" t="str">
        <f>"M"</f>
        <v>M</v>
      </c>
      <c r="E671" t="s">
        <v>21</v>
      </c>
      <c r="F671" t="s">
        <v>37</v>
      </c>
      <c r="G671" t="str">
        <f>"U12"</f>
        <v>U12</v>
      </c>
      <c r="H671" t="str">
        <f>"-33"</f>
        <v>-33</v>
      </c>
      <c r="I671" t="str">
        <f>"0223452"</f>
        <v>0223452</v>
      </c>
      <c r="J671" t="str">
        <f>"Yes"</f>
        <v>Yes</v>
      </c>
      <c r="K671" t="str">
        <f>"Quebec"</f>
        <v>Quebec</v>
      </c>
      <c r="N671" t="s">
        <v>23</v>
      </c>
    </row>
    <row r="672" spans="1:14" hidden="1" x14ac:dyDescent="0.25">
      <c r="A672" t="str">
        <f>"Juan"</f>
        <v>Juan</v>
      </c>
      <c r="B672" t="str">
        <f>"Tardif"</f>
        <v>Tardif</v>
      </c>
      <c r="C672" t="str">
        <f>"Institut Judo Chicoutimi"</f>
        <v>Institut Judo Chicoutimi</v>
      </c>
      <c r="D672" t="str">
        <f>"M"</f>
        <v>M</v>
      </c>
      <c r="E672" t="s">
        <v>21</v>
      </c>
      <c r="F672" t="s">
        <v>22</v>
      </c>
      <c r="G672" t="str">
        <f>"U12"</f>
        <v>U12</v>
      </c>
      <c r="H672" t="str">
        <f>"-36"</f>
        <v>-36</v>
      </c>
      <c r="I672" t="str">
        <f>"0234717"</f>
        <v>0234717</v>
      </c>
      <c r="J672" t="str">
        <f>"Yes"</f>
        <v>Yes</v>
      </c>
      <c r="K672" t="str">
        <f>"Quebec"</f>
        <v>Quebec</v>
      </c>
      <c r="M672" t="str">
        <f>""</f>
        <v/>
      </c>
      <c r="N672" t="s">
        <v>23</v>
      </c>
    </row>
    <row r="673" spans="1:14" hidden="1" x14ac:dyDescent="0.25">
      <c r="A673" t="str">
        <f>"Meyrouanne"</f>
        <v>Meyrouanne</v>
      </c>
      <c r="B673" t="str">
        <f>"Kone"</f>
        <v>Kone</v>
      </c>
      <c r="C673" t="str">
        <f>"Judokan Port Cartier"</f>
        <v>Judokan Port Cartier</v>
      </c>
      <c r="D673" t="str">
        <f>"M"</f>
        <v>M</v>
      </c>
      <c r="E673" t="s">
        <v>38</v>
      </c>
      <c r="F673" t="s">
        <v>64</v>
      </c>
      <c r="G673" t="str">
        <f>"U14"</f>
        <v>U14</v>
      </c>
      <c r="H673" t="str">
        <f>"-55"</f>
        <v>-55</v>
      </c>
      <c r="I673" t="str">
        <f>"0214393"</f>
        <v>0214393</v>
      </c>
      <c r="J673" t="str">
        <f>"Yes"</f>
        <v>Yes</v>
      </c>
      <c r="K673" t="str">
        <f>"Quebec"</f>
        <v>Quebec</v>
      </c>
      <c r="N673" t="s">
        <v>471</v>
      </c>
    </row>
    <row r="674" spans="1:14" hidden="1" x14ac:dyDescent="0.25">
      <c r="A674" t="str">
        <f>"Léopol"</f>
        <v>Léopol</v>
      </c>
      <c r="B674" t="str">
        <f>"Morin"</f>
        <v>Morin</v>
      </c>
      <c r="C674" t="str">
        <f>"Seiko"</f>
        <v>Seiko</v>
      </c>
      <c r="D674" t="str">
        <f>"M"</f>
        <v>M</v>
      </c>
      <c r="E674" t="s">
        <v>38</v>
      </c>
      <c r="F674" t="s">
        <v>64</v>
      </c>
      <c r="G674" t="str">
        <f>"U14"</f>
        <v>U14</v>
      </c>
      <c r="H674" t="str">
        <f>"-55"</f>
        <v>-55</v>
      </c>
      <c r="I674" t="str">
        <f>"0171190"</f>
        <v>0171190</v>
      </c>
      <c r="J674" t="str">
        <f>"Yes"</f>
        <v>Yes</v>
      </c>
      <c r="K674" t="str">
        <f>"Quebec"</f>
        <v>Quebec</v>
      </c>
      <c r="N674" t="s">
        <v>471</v>
      </c>
    </row>
    <row r="675" spans="1:14" hidden="1" x14ac:dyDescent="0.25">
      <c r="A675" t="str">
        <f>"Charlie"</f>
        <v>Charlie</v>
      </c>
      <c r="B675" t="str">
        <f>"Thibault"</f>
        <v>Thibault</v>
      </c>
      <c r="C675" t="str">
        <f>"Seïkidokan"</f>
        <v>Seïkidokan</v>
      </c>
      <c r="D675" t="str">
        <f>"F"</f>
        <v>F</v>
      </c>
      <c r="E675" t="s">
        <v>21</v>
      </c>
      <c r="F675" t="s">
        <v>90</v>
      </c>
      <c r="G675" t="str">
        <f>"U12"</f>
        <v>U12</v>
      </c>
      <c r="H675" t="str">
        <f>"-42"</f>
        <v>-42</v>
      </c>
      <c r="I675" t="str">
        <f>"0194130"</f>
        <v>0194130</v>
      </c>
      <c r="J675" t="str">
        <f>"Yes"</f>
        <v>Yes</v>
      </c>
      <c r="K675" t="str">
        <f>"Quebec"</f>
        <v>Quebec</v>
      </c>
      <c r="M675" t="str">
        <f>""</f>
        <v/>
      </c>
      <c r="N675" t="s">
        <v>91</v>
      </c>
    </row>
    <row r="676" spans="1:14" hidden="1" x14ac:dyDescent="0.25">
      <c r="A676" t="str">
        <f>"Justin"</f>
        <v>Justin</v>
      </c>
      <c r="B676" t="str">
        <f>"Thibault"</f>
        <v>Thibault</v>
      </c>
      <c r="C676" t="str">
        <f>"Seïkidokan"</f>
        <v>Seïkidokan</v>
      </c>
      <c r="D676" t="str">
        <f>"M"</f>
        <v>M</v>
      </c>
      <c r="E676" t="s">
        <v>21</v>
      </c>
      <c r="F676" t="s">
        <v>90</v>
      </c>
      <c r="G676" t="str">
        <f>"U12"</f>
        <v>U12</v>
      </c>
      <c r="H676" t="str">
        <f>"-39"</f>
        <v>-39</v>
      </c>
      <c r="I676" t="str">
        <f>"0194129"</f>
        <v>0194129</v>
      </c>
      <c r="J676" t="str">
        <f>"Yes"</f>
        <v>Yes</v>
      </c>
      <c r="K676" t="str">
        <f>"Quebec"</f>
        <v>Quebec</v>
      </c>
      <c r="M676" t="str">
        <f>""</f>
        <v/>
      </c>
      <c r="N676" t="s">
        <v>23</v>
      </c>
    </row>
    <row r="677" spans="1:14" x14ac:dyDescent="0.25">
      <c r="A677" t="str">
        <f>"Jérémy"</f>
        <v>Jérémy</v>
      </c>
      <c r="B677" t="str">
        <f>"Labrie"</f>
        <v>Labrie</v>
      </c>
      <c r="C677" t="str">
        <f>"Sept-Iles"</f>
        <v>Sept-Iles</v>
      </c>
      <c r="D677" t="str">
        <f>"M"</f>
        <v>M</v>
      </c>
      <c r="E677" t="s">
        <v>17</v>
      </c>
      <c r="F677" t="s">
        <v>30</v>
      </c>
      <c r="G677" t="s">
        <v>25</v>
      </c>
      <c r="H677" t="str">
        <f>"-81"</f>
        <v>-81</v>
      </c>
      <c r="I677" t="str">
        <f>"0182470"</f>
        <v>0182470</v>
      </c>
      <c r="J677" t="str">
        <f>"Yes"</f>
        <v>Yes</v>
      </c>
      <c r="K677" t="str">
        <f>"Quebec"</f>
        <v>Quebec</v>
      </c>
      <c r="M677" t="str">
        <f>"2 divisions : U18 + U21/Sénior B"</f>
        <v>2 divisions : U18 + U21/Sénior B</v>
      </c>
      <c r="N677" t="s">
        <v>485</v>
      </c>
    </row>
    <row r="678" spans="1:14" hidden="1" x14ac:dyDescent="0.25">
      <c r="A678" t="str">
        <f>"Zakary"</f>
        <v>Zakary</v>
      </c>
      <c r="B678" t="str">
        <f>"Banville"</f>
        <v>Banville</v>
      </c>
      <c r="C678" t="str">
        <f>"Rikidokan"</f>
        <v>Rikidokan</v>
      </c>
      <c r="D678" t="str">
        <f>"M"</f>
        <v>M</v>
      </c>
      <c r="E678" t="s">
        <v>14</v>
      </c>
      <c r="F678" t="s">
        <v>37</v>
      </c>
      <c r="G678" t="str">
        <f>"U14"</f>
        <v>U14</v>
      </c>
      <c r="H678" t="str">
        <f>"-60"</f>
        <v>-60</v>
      </c>
      <c r="I678" t="str">
        <f>"0220966"</f>
        <v>0220966</v>
      </c>
      <c r="J678" t="str">
        <f>"Yes"</f>
        <v>Yes</v>
      </c>
      <c r="K678" t="str">
        <f>"Quebec"</f>
        <v>Quebec</v>
      </c>
      <c r="N678" t="s">
        <v>486</v>
      </c>
    </row>
    <row r="679" spans="1:14" hidden="1" x14ac:dyDescent="0.25">
      <c r="A679" t="str">
        <f>"Oleg"</f>
        <v>Oleg</v>
      </c>
      <c r="B679" t="str">
        <f>"Kirir"</f>
        <v>Kirir</v>
      </c>
      <c r="C679" t="s">
        <v>92</v>
      </c>
      <c r="D679" t="str">
        <f>"M"</f>
        <v>M</v>
      </c>
      <c r="E679" t="s">
        <v>24</v>
      </c>
      <c r="F679" t="s">
        <v>15</v>
      </c>
      <c r="G679" t="str">
        <f>"U16"</f>
        <v>U16</v>
      </c>
      <c r="H679" t="str">
        <f>"-66"</f>
        <v>-66</v>
      </c>
      <c r="I679" t="str">
        <f>"0410744"</f>
        <v>0410744</v>
      </c>
      <c r="J679" t="str">
        <f>"Yes"</f>
        <v>Yes</v>
      </c>
      <c r="K679" t="str">
        <f>"Quebec"</f>
        <v>Quebec</v>
      </c>
      <c r="N679" t="s">
        <v>439</v>
      </c>
    </row>
    <row r="680" spans="1:14" hidden="1" x14ac:dyDescent="0.25">
      <c r="A680" t="str">
        <f>"Janie"</f>
        <v>Janie</v>
      </c>
      <c r="B680" t="str">
        <f>"Roy"</f>
        <v>Roy</v>
      </c>
      <c r="C680" t="str">
        <f>"Vieille Capitale"</f>
        <v>Vieille Capitale</v>
      </c>
      <c r="D680" t="str">
        <f>"F"</f>
        <v>F</v>
      </c>
      <c r="E680" t="s">
        <v>71</v>
      </c>
      <c r="F680" t="s">
        <v>18</v>
      </c>
      <c r="G680" t="str">
        <f>"U21/Senior B"</f>
        <v>U21/Senior B</v>
      </c>
      <c r="H680" t="str">
        <f>"-78"</f>
        <v>-78</v>
      </c>
      <c r="I680" t="str">
        <f>"0156768"</f>
        <v>0156768</v>
      </c>
      <c r="J680" t="str">
        <f>"Yes"</f>
        <v>Yes</v>
      </c>
      <c r="K680" t="str">
        <f>"Quebec"</f>
        <v>Quebec</v>
      </c>
      <c r="N680" t="s">
        <v>487</v>
      </c>
    </row>
    <row r="681" spans="1:14" hidden="1" x14ac:dyDescent="0.25">
      <c r="A681" t="s">
        <v>488</v>
      </c>
      <c r="B681" t="s">
        <v>489</v>
      </c>
      <c r="C681" t="s">
        <v>268</v>
      </c>
      <c r="D681" t="s">
        <v>44</v>
      </c>
      <c r="E681" t="s">
        <v>71</v>
      </c>
      <c r="F681" t="s">
        <v>30</v>
      </c>
      <c r="G681" t="s">
        <v>85</v>
      </c>
      <c r="H681" s="1">
        <v>-78</v>
      </c>
      <c r="I681" t="s">
        <v>490</v>
      </c>
      <c r="J681" t="s">
        <v>46</v>
      </c>
      <c r="K681" t="s">
        <v>47</v>
      </c>
      <c r="M681" t="str">
        <f>"2 divisions : U21/Senior B + Senior A ; ok avec +78"</f>
        <v>2 divisions : U21/Senior B + Senior A ; ok avec +78</v>
      </c>
      <c r="N681" t="s">
        <v>491</v>
      </c>
    </row>
    <row r="682" spans="1:14" hidden="1" x14ac:dyDescent="0.25">
      <c r="A682" t="str">
        <f>"Charlie"</f>
        <v>Charlie</v>
      </c>
      <c r="B682" t="str">
        <f>"Bisson"</f>
        <v>Bisson</v>
      </c>
      <c r="C682" t="s">
        <v>294</v>
      </c>
      <c r="D682" t="str">
        <f>"F"</f>
        <v>F</v>
      </c>
      <c r="E682" t="s">
        <v>32</v>
      </c>
      <c r="F682" t="s">
        <v>64</v>
      </c>
      <c r="G682" t="str">
        <f>"U16"</f>
        <v>U16</v>
      </c>
      <c r="H682" t="str">
        <f>"-70"</f>
        <v>-70</v>
      </c>
      <c r="I682" t="str">
        <f>"0185733"</f>
        <v>0185733</v>
      </c>
      <c r="J682" t="str">
        <f>"Yes"</f>
        <v>Yes</v>
      </c>
      <c r="K682" t="str">
        <f>"Quebec"</f>
        <v>Quebec</v>
      </c>
      <c r="M682" t="str">
        <f>""</f>
        <v/>
      </c>
      <c r="N682" t="s">
        <v>492</v>
      </c>
    </row>
    <row r="683" spans="1:14" hidden="1" x14ac:dyDescent="0.25">
      <c r="A683" t="s">
        <v>493</v>
      </c>
      <c r="B683" t="s">
        <v>494</v>
      </c>
      <c r="C683" t="s">
        <v>268</v>
      </c>
      <c r="D683" t="s">
        <v>52</v>
      </c>
      <c r="E683">
        <v>2004</v>
      </c>
      <c r="F683" t="s">
        <v>15</v>
      </c>
      <c r="G683" t="s">
        <v>151</v>
      </c>
      <c r="H683">
        <v>-73</v>
      </c>
      <c r="I683" t="s">
        <v>495</v>
      </c>
      <c r="J683" t="s">
        <v>46</v>
      </c>
      <c r="K683" t="s">
        <v>47</v>
      </c>
      <c r="N683" t="s">
        <v>397</v>
      </c>
    </row>
    <row r="684" spans="1:14" hidden="1" x14ac:dyDescent="0.25">
      <c r="A684" t="str">
        <f>"François"</f>
        <v>François</v>
      </c>
      <c r="B684" t="str">
        <f>"Bernaquez"</f>
        <v>Bernaquez</v>
      </c>
      <c r="C684" t="str">
        <f>"Bushidokan"</f>
        <v>Bushidokan</v>
      </c>
      <c r="D684" t="str">
        <f>"M"</f>
        <v>M</v>
      </c>
      <c r="E684" t="s">
        <v>448</v>
      </c>
      <c r="F684" t="s">
        <v>132</v>
      </c>
      <c r="G684" t="str">
        <f>"Master"</f>
        <v>Master</v>
      </c>
      <c r="H684" t="str">
        <f>"-90"</f>
        <v>-90</v>
      </c>
      <c r="I684" t="str">
        <f>"0013007"</f>
        <v>0013007</v>
      </c>
      <c r="J684" t="str">
        <f>"Yes"</f>
        <v>Yes</v>
      </c>
      <c r="K684" t="str">
        <f>"Quebec"</f>
        <v>Quebec</v>
      </c>
      <c r="N684" t="s">
        <v>496</v>
      </c>
    </row>
    <row r="685" spans="1:14" hidden="1" x14ac:dyDescent="0.25">
      <c r="A685" t="s">
        <v>497</v>
      </c>
      <c r="B685" t="s">
        <v>498</v>
      </c>
      <c r="C685" t="s">
        <v>407</v>
      </c>
      <c r="D685" t="s">
        <v>52</v>
      </c>
      <c r="E685" t="s">
        <v>109</v>
      </c>
      <c r="F685" t="s">
        <v>30</v>
      </c>
      <c r="G685" t="s">
        <v>53</v>
      </c>
      <c r="H685">
        <v>-90</v>
      </c>
      <c r="I685" t="s">
        <v>499</v>
      </c>
      <c r="J685" t="s">
        <v>46</v>
      </c>
      <c r="K685" t="s">
        <v>47</v>
      </c>
      <c r="N685" t="s">
        <v>462</v>
      </c>
    </row>
    <row r="686" spans="1:14" hidden="1" x14ac:dyDescent="0.25">
      <c r="A686" t="s">
        <v>500</v>
      </c>
      <c r="B686" t="s">
        <v>501</v>
      </c>
      <c r="C686" t="s">
        <v>59</v>
      </c>
      <c r="D686" t="s">
        <v>52</v>
      </c>
      <c r="E686" t="s">
        <v>233</v>
      </c>
      <c r="F686" t="s">
        <v>18</v>
      </c>
      <c r="G686" t="s">
        <v>85</v>
      </c>
      <c r="H686">
        <v>-90</v>
      </c>
      <c r="I686" t="s">
        <v>502</v>
      </c>
      <c r="J686" t="s">
        <v>46</v>
      </c>
      <c r="K686" t="s">
        <v>47</v>
      </c>
      <c r="N686" t="s">
        <v>441</v>
      </c>
    </row>
    <row r="687" spans="1:14" hidden="1" x14ac:dyDescent="0.25">
      <c r="A687" t="s">
        <v>244</v>
      </c>
      <c r="B687" t="s">
        <v>219</v>
      </c>
      <c r="C687" t="s">
        <v>59</v>
      </c>
      <c r="D687" t="s">
        <v>52</v>
      </c>
      <c r="E687" t="s">
        <v>60</v>
      </c>
      <c r="F687" t="s">
        <v>15</v>
      </c>
      <c r="G687" t="s">
        <v>61</v>
      </c>
      <c r="H687">
        <v>-30</v>
      </c>
      <c r="I687" t="s">
        <v>503</v>
      </c>
      <c r="J687" t="s">
        <v>46</v>
      </c>
      <c r="K687" t="s">
        <v>47</v>
      </c>
      <c r="N687" t="s">
        <v>23</v>
      </c>
    </row>
    <row r="688" spans="1:14" hidden="1" x14ac:dyDescent="0.25">
      <c r="A688" t="str">
        <f>"Zack"</f>
        <v>Zack</v>
      </c>
      <c r="B688" t="str">
        <f>"Tremblay"</f>
        <v>Tremblay</v>
      </c>
      <c r="C688" t="str">
        <f>"Seiko"</f>
        <v>Seiko</v>
      </c>
      <c r="D688" t="str">
        <f>"M"</f>
        <v>M</v>
      </c>
      <c r="E688" t="s">
        <v>60</v>
      </c>
      <c r="F688" t="s">
        <v>22</v>
      </c>
      <c r="G688" t="str">
        <f>"U12"</f>
        <v>U12</v>
      </c>
      <c r="H688" t="str">
        <f>"-49"</f>
        <v>-49</v>
      </c>
      <c r="I688" t="str">
        <f>"0410218"</f>
        <v>0410218</v>
      </c>
      <c r="J688" t="str">
        <f>"Yes"</f>
        <v>Yes</v>
      </c>
      <c r="K688" t="str">
        <f>"Quebec"</f>
        <v>Quebec</v>
      </c>
      <c r="N688" t="s">
        <v>23</v>
      </c>
    </row>
    <row r="689" spans="1:14" hidden="1" x14ac:dyDescent="0.25">
      <c r="A689" t="str">
        <f>"Felix"</f>
        <v>Felix</v>
      </c>
      <c r="B689" t="str">
        <f>"Therrien"</f>
        <v>Therrien</v>
      </c>
      <c r="C689" t="str">
        <f>"Albatros"</f>
        <v>Albatros</v>
      </c>
      <c r="D689" t="str">
        <f>"M"</f>
        <v>M</v>
      </c>
      <c r="E689" t="s">
        <v>14</v>
      </c>
      <c r="F689" t="s">
        <v>90</v>
      </c>
      <c r="G689" t="str">
        <f>"U14"</f>
        <v>U14</v>
      </c>
      <c r="H689" t="str">
        <f>"-60"</f>
        <v>-60</v>
      </c>
      <c r="I689" t="str">
        <f>"0199517"</f>
        <v>0199517</v>
      </c>
      <c r="J689" t="str">
        <f>"Yes"</f>
        <v>Yes</v>
      </c>
      <c r="K689" t="str">
        <f>"Quebec"</f>
        <v>Quebec</v>
      </c>
      <c r="N689" t="s">
        <v>486</v>
      </c>
    </row>
    <row r="690" spans="1:14" hidden="1" x14ac:dyDescent="0.25">
      <c r="A690" t="str">
        <f>"Samuel"</f>
        <v>Samuel</v>
      </c>
      <c r="B690" t="str">
        <f>"Gendron"</f>
        <v>Gendron</v>
      </c>
      <c r="C690" t="str">
        <f>"Baie-Comeau"</f>
        <v>Baie-Comeau</v>
      </c>
      <c r="D690" t="str">
        <f>"M"</f>
        <v>M</v>
      </c>
      <c r="E690" t="s">
        <v>38</v>
      </c>
      <c r="F690" t="s">
        <v>64</v>
      </c>
      <c r="G690" t="str">
        <f>"U14"</f>
        <v>U14</v>
      </c>
      <c r="H690" t="str">
        <f>"-60"</f>
        <v>-60</v>
      </c>
      <c r="I690" t="str">
        <f>"0207026"</f>
        <v>0207026</v>
      </c>
      <c r="J690" t="str">
        <f>"Yes"</f>
        <v>Yes</v>
      </c>
      <c r="K690" t="str">
        <f>"Quebec"</f>
        <v>Quebec</v>
      </c>
      <c r="N690" t="s">
        <v>504</v>
      </c>
    </row>
    <row r="691" spans="1:14" hidden="1" x14ac:dyDescent="0.25">
      <c r="A691" t="str">
        <f>"Matthew"</f>
        <v>Matthew</v>
      </c>
      <c r="B691" t="str">
        <f>"Lemieux"</f>
        <v>Lemieux</v>
      </c>
      <c r="C691" t="str">
        <f>"Judo-Tech"</f>
        <v>Judo-Tech</v>
      </c>
      <c r="D691" t="str">
        <f>"M"</f>
        <v>M</v>
      </c>
      <c r="E691" t="s">
        <v>38</v>
      </c>
      <c r="F691" t="s">
        <v>64</v>
      </c>
      <c r="G691" t="str">
        <f>"U14"</f>
        <v>U14</v>
      </c>
      <c r="H691" t="str">
        <f>"-60"</f>
        <v>-60</v>
      </c>
      <c r="I691" t="str">
        <f>"0184393"</f>
        <v>0184393</v>
      </c>
      <c r="J691" t="str">
        <f>"Yes"</f>
        <v>Yes</v>
      </c>
      <c r="K691" t="str">
        <f>"Quebec"</f>
        <v>Quebec</v>
      </c>
      <c r="N691" t="s">
        <v>504</v>
      </c>
    </row>
    <row r="692" spans="1:14" hidden="1" x14ac:dyDescent="0.25">
      <c r="A692" t="str">
        <f>"Arris"</f>
        <v>Arris</v>
      </c>
      <c r="B692" t="str">
        <f>"Ouhab"</f>
        <v>Ouhab</v>
      </c>
      <c r="C692" t="str">
        <f>"Budokan Saint-Laurent"</f>
        <v>Budokan Saint-Laurent</v>
      </c>
      <c r="D692" t="str">
        <f>"M"</f>
        <v>M</v>
      </c>
      <c r="E692" t="s">
        <v>38</v>
      </c>
      <c r="F692" t="s">
        <v>64</v>
      </c>
      <c r="G692" t="str">
        <f>"U14"</f>
        <v>U14</v>
      </c>
      <c r="H692" t="str">
        <f>"-60"</f>
        <v>-60</v>
      </c>
      <c r="I692" t="str">
        <f>"0196339"</f>
        <v>0196339</v>
      </c>
      <c r="J692" t="str">
        <f>"Yes"</f>
        <v>Yes</v>
      </c>
      <c r="K692" t="str">
        <f>"Quebec"</f>
        <v>Quebec</v>
      </c>
      <c r="N692" t="s">
        <v>504</v>
      </c>
    </row>
    <row r="693" spans="1:14" hidden="1" x14ac:dyDescent="0.25">
      <c r="A693" t="str">
        <f>"Jeremy"</f>
        <v>Jeremy</v>
      </c>
      <c r="B693" t="str">
        <f>"Durand"</f>
        <v>Durand</v>
      </c>
      <c r="C693" t="str">
        <f>"CJVR"</f>
        <v>CJVR</v>
      </c>
      <c r="D693" t="str">
        <f>"M"</f>
        <v>M</v>
      </c>
      <c r="E693" t="s">
        <v>32</v>
      </c>
      <c r="F693" t="s">
        <v>39</v>
      </c>
      <c r="G693" t="str">
        <f>"U16"</f>
        <v>U16</v>
      </c>
      <c r="H693" t="str">
        <f>"-73"</f>
        <v>-73</v>
      </c>
      <c r="I693" t="str">
        <f>"0189853"</f>
        <v>0189853</v>
      </c>
      <c r="J693" t="str">
        <f>"Yes"</f>
        <v>Yes</v>
      </c>
      <c r="K693" t="str">
        <f>"Quebec"</f>
        <v>Quebec</v>
      </c>
      <c r="N693" t="s">
        <v>466</v>
      </c>
    </row>
    <row r="694" spans="1:14" hidden="1" x14ac:dyDescent="0.25">
      <c r="A694" t="str">
        <f>"Justin"</f>
        <v>Justin</v>
      </c>
      <c r="B694" t="str">
        <f>"Coulombe"</f>
        <v>Coulombe</v>
      </c>
      <c r="C694" t="str">
        <f>"Sept-Iles"</f>
        <v>Sept-Iles</v>
      </c>
      <c r="D694" t="str">
        <f>"M"</f>
        <v>M</v>
      </c>
      <c r="E694" t="s">
        <v>71</v>
      </c>
      <c r="F694" t="s">
        <v>18</v>
      </c>
      <c r="G694" t="s">
        <v>72</v>
      </c>
      <c r="H694" t="str">
        <f>"-90"</f>
        <v>-90</v>
      </c>
      <c r="I694" t="str">
        <f>"0191291"</f>
        <v>0191291</v>
      </c>
      <c r="J694" t="str">
        <f>"Yes"</f>
        <v>Yes</v>
      </c>
      <c r="K694" t="str">
        <f>"Quebec"</f>
        <v>Quebec</v>
      </c>
      <c r="M694" t="str">
        <f>"2 divisions : U21/Senior B + Senior A"</f>
        <v>2 divisions : U21/Senior B + Senior A</v>
      </c>
      <c r="N694" t="s">
        <v>482</v>
      </c>
    </row>
    <row r="695" spans="1:14" hidden="1" x14ac:dyDescent="0.25">
      <c r="A695" t="str">
        <f>"Vincent"</f>
        <v>Vincent</v>
      </c>
      <c r="B695" t="str">
        <f>"Durand"</f>
        <v>Durand</v>
      </c>
      <c r="C695" t="str">
        <f>"Vallée du Richelieu"</f>
        <v>Vallée du Richelieu</v>
      </c>
      <c r="D695" t="str">
        <f>"M"</f>
        <v>M</v>
      </c>
      <c r="E695" t="s">
        <v>32</v>
      </c>
      <c r="F695" t="s">
        <v>107</v>
      </c>
      <c r="G695" t="str">
        <f>"U16"</f>
        <v>U16</v>
      </c>
      <c r="H695" t="str">
        <f>"-73"</f>
        <v>-73</v>
      </c>
      <c r="I695" t="str">
        <f>"0189852"</f>
        <v>0189852</v>
      </c>
      <c r="J695" t="str">
        <f>"Yes"</f>
        <v>Yes</v>
      </c>
      <c r="K695" t="str">
        <f>"Quebec"</f>
        <v>Quebec</v>
      </c>
      <c r="N695" t="s">
        <v>466</v>
      </c>
    </row>
    <row r="696" spans="1:14" hidden="1" x14ac:dyDescent="0.25">
      <c r="A696" t="str">
        <f>"Liliane"</f>
        <v>Liliane</v>
      </c>
      <c r="B696" t="str">
        <f>"Trotier"</f>
        <v>Trotier</v>
      </c>
      <c r="C696" t="str">
        <f>"Baie-Comeau"</f>
        <v>Baie-Comeau</v>
      </c>
      <c r="D696" t="str">
        <f>"F"</f>
        <v>F</v>
      </c>
      <c r="E696" t="s">
        <v>21</v>
      </c>
      <c r="F696" t="s">
        <v>90</v>
      </c>
      <c r="G696" t="str">
        <f>"U12"</f>
        <v>U12</v>
      </c>
      <c r="H696" t="str">
        <f>"-33"</f>
        <v>-33</v>
      </c>
      <c r="I696" t="str">
        <f>"0184836"</f>
        <v>0184836</v>
      </c>
      <c r="J696" t="str">
        <f>"Yes"</f>
        <v>Yes</v>
      </c>
      <c r="K696" t="str">
        <f>"Quebec"</f>
        <v>Quebec</v>
      </c>
      <c r="M696" t="str">
        <f>""</f>
        <v/>
      </c>
      <c r="N696" t="s">
        <v>91</v>
      </c>
    </row>
    <row r="697" spans="1:14" hidden="1" x14ac:dyDescent="0.25">
      <c r="A697" t="str">
        <f>"Rosalie"</f>
        <v>Rosalie</v>
      </c>
      <c r="B697" t="str">
        <f>"Trotier"</f>
        <v>Trotier</v>
      </c>
      <c r="C697" t="str">
        <f>"Baie-Comeau"</f>
        <v>Baie-Comeau</v>
      </c>
      <c r="D697" t="str">
        <f>"F"</f>
        <v>F</v>
      </c>
      <c r="E697" t="s">
        <v>60</v>
      </c>
      <c r="F697" t="s">
        <v>37</v>
      </c>
      <c r="G697" t="str">
        <f>"U12"</f>
        <v>U12</v>
      </c>
      <c r="H697" t="str">
        <f>"-39"</f>
        <v>-39</v>
      </c>
      <c r="I697" t="str">
        <f>"0189624"</f>
        <v>0189624</v>
      </c>
      <c r="J697" t="str">
        <f>"Yes"</f>
        <v>Yes</v>
      </c>
      <c r="K697" t="str">
        <f>"Quebec"</f>
        <v>Quebec</v>
      </c>
      <c r="M697" t="str">
        <f>""</f>
        <v/>
      </c>
      <c r="N697" t="s">
        <v>91</v>
      </c>
    </row>
    <row r="698" spans="1:14" hidden="1" x14ac:dyDescent="0.25">
      <c r="A698" t="str">
        <f>"Mathieu"</f>
        <v>Mathieu</v>
      </c>
      <c r="B698" t="str">
        <f>"Turcotte"</f>
        <v>Turcotte</v>
      </c>
      <c r="C698" t="s">
        <v>59</v>
      </c>
      <c r="D698" t="str">
        <f>"M"</f>
        <v>M</v>
      </c>
      <c r="E698" t="s">
        <v>383</v>
      </c>
      <c r="F698" t="s">
        <v>64</v>
      </c>
      <c r="G698" t="str">
        <f>"U21/Senior Mudansha"</f>
        <v>U21/Senior Mudansha</v>
      </c>
      <c r="H698" t="str">
        <f>"-81"</f>
        <v>-81</v>
      </c>
      <c r="I698" t="str">
        <f>"0218229"</f>
        <v>0218229</v>
      </c>
      <c r="J698" t="str">
        <f>"Yes"</f>
        <v>Yes</v>
      </c>
      <c r="K698" t="str">
        <f>"Quebec"</f>
        <v>Quebec</v>
      </c>
      <c r="N698" t="s">
        <v>402</v>
      </c>
    </row>
    <row r="699" spans="1:14" hidden="1" x14ac:dyDescent="0.25">
      <c r="A699" t="str">
        <f>"Leo"</f>
        <v>Leo</v>
      </c>
      <c r="B699" t="str">
        <f>"Trudel"</f>
        <v>Trudel</v>
      </c>
      <c r="C699" t="str">
        <f>"Judokan Port Cartier"</f>
        <v>Judokan Port Cartier</v>
      </c>
      <c r="D699" t="str">
        <f>"M"</f>
        <v>M</v>
      </c>
      <c r="E699" t="s">
        <v>21</v>
      </c>
      <c r="F699" t="s">
        <v>39</v>
      </c>
      <c r="G699" t="str">
        <f>"U12"</f>
        <v>U12</v>
      </c>
      <c r="H699" t="str">
        <f>"-39"</f>
        <v>-39</v>
      </c>
      <c r="I699" t="str">
        <f>"0198570"</f>
        <v>0198570</v>
      </c>
      <c r="J699" t="str">
        <f>"Yes"</f>
        <v>Yes</v>
      </c>
      <c r="K699" t="str">
        <f>"Quebec"</f>
        <v>Quebec</v>
      </c>
      <c r="N699" t="s">
        <v>23</v>
      </c>
    </row>
    <row r="700" spans="1:14" x14ac:dyDescent="0.25">
      <c r="A700" t="str">
        <f>"Renaud"</f>
        <v>Renaud</v>
      </c>
      <c r="B700" t="str">
        <f>"Lapointe"</f>
        <v>Lapointe</v>
      </c>
      <c r="C700" t="str">
        <f>"Judokas Jonquière"</f>
        <v>Judokas Jonquière</v>
      </c>
      <c r="D700" t="str">
        <f>"M"</f>
        <v>M</v>
      </c>
      <c r="E700" t="s">
        <v>17</v>
      </c>
      <c r="F700" t="s">
        <v>18</v>
      </c>
      <c r="G700" t="str">
        <f>"U18"</f>
        <v>U18</v>
      </c>
      <c r="H700" t="str">
        <f>"-81"</f>
        <v>-81</v>
      </c>
      <c r="I700" t="str">
        <f>"0145327"</f>
        <v>0145327</v>
      </c>
      <c r="J700" t="str">
        <f>"Yes"</f>
        <v>Yes</v>
      </c>
      <c r="K700" t="str">
        <f>"Quebec"</f>
        <v>Quebec</v>
      </c>
      <c r="N700" t="s">
        <v>485</v>
      </c>
    </row>
    <row r="701" spans="1:14" x14ac:dyDescent="0.25">
      <c r="A701" t="str">
        <f>"Battou"</f>
        <v>Battou</v>
      </c>
      <c r="B701" t="str">
        <f>"Smail"</f>
        <v>Smail</v>
      </c>
      <c r="C701" t="str">
        <f>"St-Leonard"</f>
        <v>St-Leonard</v>
      </c>
      <c r="D701" t="str">
        <f>"M"</f>
        <v>M</v>
      </c>
      <c r="E701" t="s">
        <v>17</v>
      </c>
      <c r="F701" t="s">
        <v>18</v>
      </c>
      <c r="G701" t="str">
        <f>"U18"</f>
        <v>U18</v>
      </c>
      <c r="H701" t="str">
        <f>"-81"</f>
        <v>-81</v>
      </c>
      <c r="I701" t="str">
        <f>"0407246"</f>
        <v>0407246</v>
      </c>
      <c r="J701" t="str">
        <f>"Yes"</f>
        <v>Yes</v>
      </c>
      <c r="K701" t="str">
        <f>"Quebec"</f>
        <v>Quebec</v>
      </c>
      <c r="M701" t="str">
        <f>""</f>
        <v/>
      </c>
      <c r="N701" t="s">
        <v>485</v>
      </c>
    </row>
    <row r="702" spans="1:14" hidden="1" x14ac:dyDescent="0.25">
      <c r="A702" t="str">
        <f>"Jeremy"</f>
        <v>Jeremy</v>
      </c>
      <c r="B702" t="str">
        <f>"Lemieux"</f>
        <v>Lemieux</v>
      </c>
      <c r="C702" t="s">
        <v>407</v>
      </c>
      <c r="D702" t="str">
        <f>"M"</f>
        <v>M</v>
      </c>
      <c r="E702" t="s">
        <v>109</v>
      </c>
      <c r="F702" t="s">
        <v>30</v>
      </c>
      <c r="G702" t="s">
        <v>72</v>
      </c>
      <c r="H702" t="str">
        <f>"-90"</f>
        <v>-90</v>
      </c>
      <c r="I702" t="str">
        <f>"0155858"</f>
        <v>0155858</v>
      </c>
      <c r="J702" t="str">
        <f>"Yes"</f>
        <v>Yes</v>
      </c>
      <c r="K702" t="str">
        <f>"Quebec"</f>
        <v>Quebec</v>
      </c>
      <c r="M702" t="str">
        <f>"2 divisions : U21/Senior B + Ne-waza"</f>
        <v>2 divisions : U21/Senior B + Ne-waza</v>
      </c>
      <c r="N702" t="s">
        <v>482</v>
      </c>
    </row>
    <row r="703" spans="1:14" hidden="1" x14ac:dyDescent="0.25">
      <c r="A703" t="str">
        <f>"Mathieu"</f>
        <v>Mathieu</v>
      </c>
      <c r="B703" t="str">
        <f>"Leclerc"</f>
        <v>Leclerc</v>
      </c>
      <c r="C703" t="str">
        <f>"St-Jean Bosco de Hull"</f>
        <v>St-Jean Bosco de Hull</v>
      </c>
      <c r="D703" t="str">
        <f>"M"</f>
        <v>M</v>
      </c>
      <c r="E703" t="s">
        <v>424</v>
      </c>
      <c r="F703" t="s">
        <v>15</v>
      </c>
      <c r="G703" t="str">
        <f>"U21/Senior Mudansha"</f>
        <v>U21/Senior Mudansha</v>
      </c>
      <c r="H703" t="str">
        <f>"-90"</f>
        <v>-90</v>
      </c>
      <c r="I703" t="str">
        <f>"0411090"</f>
        <v>0411090</v>
      </c>
      <c r="J703" t="str">
        <f>"Yes"</f>
        <v>Yes</v>
      </c>
      <c r="K703" t="str">
        <f>"Quebec"</f>
        <v>Quebec</v>
      </c>
      <c r="N703" t="s">
        <v>505</v>
      </c>
    </row>
    <row r="704" spans="1:14" hidden="1" x14ac:dyDescent="0.25">
      <c r="A704" t="s">
        <v>506</v>
      </c>
      <c r="B704" t="s">
        <v>507</v>
      </c>
      <c r="C704" t="s">
        <v>59</v>
      </c>
      <c r="D704" t="s">
        <v>44</v>
      </c>
      <c r="E704" t="s">
        <v>38</v>
      </c>
      <c r="F704" t="s">
        <v>37</v>
      </c>
      <c r="G704" t="s">
        <v>95</v>
      </c>
      <c r="H704" t="str">
        <f>"-63"</f>
        <v>-63</v>
      </c>
      <c r="I704" t="s">
        <v>508</v>
      </c>
      <c r="J704" t="s">
        <v>46</v>
      </c>
      <c r="K704" t="s">
        <v>47</v>
      </c>
      <c r="N704" t="s">
        <v>403</v>
      </c>
    </row>
    <row r="705" spans="1:14" hidden="1" x14ac:dyDescent="0.25">
      <c r="A705" t="str">
        <f>"Frederique"</f>
        <v>Frederique</v>
      </c>
      <c r="B705" t="str">
        <f>"Lavigne"</f>
        <v>Lavigne</v>
      </c>
      <c r="C705" t="str">
        <f>"Métropolitain"</f>
        <v>Métropolitain</v>
      </c>
      <c r="D705" t="str">
        <f>"F"</f>
        <v>F</v>
      </c>
      <c r="E705" t="s">
        <v>38</v>
      </c>
      <c r="F705" t="s">
        <v>64</v>
      </c>
      <c r="G705" t="str">
        <f>"U14"</f>
        <v>U14</v>
      </c>
      <c r="H705" t="str">
        <f>"-57"</f>
        <v>-57</v>
      </c>
      <c r="I705" t="str">
        <f>"0197620"</f>
        <v>0197620</v>
      </c>
      <c r="J705" t="str">
        <f>"Yes"</f>
        <v>Yes</v>
      </c>
      <c r="K705" t="str">
        <f>"Quebec"</f>
        <v>Quebec</v>
      </c>
      <c r="M705" t="s">
        <v>384</v>
      </c>
      <c r="N705" t="s">
        <v>410</v>
      </c>
    </row>
    <row r="706" spans="1:14" x14ac:dyDescent="0.25">
      <c r="A706" t="str">
        <f>"Myriam"</f>
        <v>Myriam</v>
      </c>
      <c r="B706" t="str">
        <f>"Brazeau"</f>
        <v>Brazeau</v>
      </c>
      <c r="C706" t="str">
        <f>"Perrot Shima"</f>
        <v>Perrot Shima</v>
      </c>
      <c r="D706" t="str">
        <f>"F"</f>
        <v>F</v>
      </c>
      <c r="E706" t="s">
        <v>27</v>
      </c>
      <c r="F706" t="s">
        <v>18</v>
      </c>
      <c r="G706" t="str">
        <f>"U18"</f>
        <v>U18</v>
      </c>
      <c r="H706" t="str">
        <f>"-70"</f>
        <v>-70</v>
      </c>
      <c r="I706" t="str">
        <f>"0227723"</f>
        <v>0227723</v>
      </c>
      <c r="J706" t="str">
        <f>"Yes"</f>
        <v>Yes</v>
      </c>
      <c r="K706" t="str">
        <f>"Quebec"</f>
        <v>Quebec</v>
      </c>
      <c r="M706" t="str">
        <f>""</f>
        <v/>
      </c>
      <c r="N706" t="s">
        <v>509</v>
      </c>
    </row>
    <row r="707" spans="1:14" hidden="1" x14ac:dyDescent="0.25">
      <c r="A707" t="str">
        <f>"Josie-Anne"</f>
        <v>Josie-Anne</v>
      </c>
      <c r="B707" t="str">
        <f>"Synott"</f>
        <v>Synott</v>
      </c>
      <c r="C707" t="str">
        <f>"Sept-Iles"</f>
        <v>Sept-Iles</v>
      </c>
      <c r="D707" t="str">
        <f>"F"</f>
        <v>F</v>
      </c>
      <c r="E707" t="s">
        <v>71</v>
      </c>
      <c r="F707" t="s">
        <v>30</v>
      </c>
      <c r="G707" t="s">
        <v>72</v>
      </c>
      <c r="H707" t="str">
        <f>"-78"</f>
        <v>-78</v>
      </c>
      <c r="I707" t="str">
        <f>"0212183"</f>
        <v>0212183</v>
      </c>
      <c r="J707" t="str">
        <f>"Yes"</f>
        <v>Yes</v>
      </c>
      <c r="K707" t="str">
        <f>"Quebec"</f>
        <v>Quebec</v>
      </c>
      <c r="M707" t="str">
        <f>"2 divisions : U21/Senior B + Senior A ; ok avec +78"</f>
        <v>2 divisions : U21/Senior B + Senior A ; ok avec +78</v>
      </c>
      <c r="N707" t="s">
        <v>487</v>
      </c>
    </row>
    <row r="708" spans="1:14" hidden="1" x14ac:dyDescent="0.25">
      <c r="A708" t="str">
        <f>"Cedric"</f>
        <v>Cedric</v>
      </c>
      <c r="B708" t="str">
        <f>"Turgeon"</f>
        <v>Turgeon</v>
      </c>
      <c r="C708" t="str">
        <f>"Seiko"</f>
        <v>Seiko</v>
      </c>
      <c r="D708" t="str">
        <f>"M"</f>
        <v>M</v>
      </c>
      <c r="E708" t="s">
        <v>21</v>
      </c>
      <c r="F708" t="s">
        <v>37</v>
      </c>
      <c r="G708" t="str">
        <f>"U12"</f>
        <v>U12</v>
      </c>
      <c r="H708" t="str">
        <f>"-30"</f>
        <v>-30</v>
      </c>
      <c r="I708" t="str">
        <f>"0200078"</f>
        <v>0200078</v>
      </c>
      <c r="J708" t="str">
        <f>"Yes"</f>
        <v>Yes</v>
      </c>
      <c r="K708" t="str">
        <f>"Quebec"</f>
        <v>Quebec</v>
      </c>
      <c r="N708" t="s">
        <v>23</v>
      </c>
    </row>
    <row r="709" spans="1:14" hidden="1" x14ac:dyDescent="0.25">
      <c r="A709" t="str">
        <f>"Mélodie"</f>
        <v>Mélodie</v>
      </c>
      <c r="B709" t="str">
        <f>"St-Onge"</f>
        <v>St-Onge</v>
      </c>
      <c r="C709" t="str">
        <f>"Asbestos-Danville"</f>
        <v>Asbestos-Danville</v>
      </c>
      <c r="D709" t="str">
        <f>"F"</f>
        <v>F</v>
      </c>
      <c r="E709" t="s">
        <v>32</v>
      </c>
      <c r="F709" t="s">
        <v>33</v>
      </c>
      <c r="G709" t="str">
        <f>"U16"</f>
        <v>U16</v>
      </c>
      <c r="H709" t="str">
        <f>"-70"</f>
        <v>-70</v>
      </c>
      <c r="I709" t="str">
        <f>"0175310"</f>
        <v>0175310</v>
      </c>
      <c r="J709" t="str">
        <f>"Yes"</f>
        <v>Yes</v>
      </c>
      <c r="K709" t="str">
        <f>"Quebec"</f>
        <v>Quebec</v>
      </c>
      <c r="M709" t="s">
        <v>510</v>
      </c>
      <c r="N709" t="s">
        <v>492</v>
      </c>
    </row>
    <row r="710" spans="1:14" x14ac:dyDescent="0.25">
      <c r="A710" t="str">
        <f>"Cassandra"</f>
        <v>Cassandra</v>
      </c>
      <c r="B710" t="str">
        <f>"Manil"</f>
        <v>Manil</v>
      </c>
      <c r="C710" t="str">
        <f>"Judokas Jonquière"</f>
        <v>Judokas Jonquière</v>
      </c>
      <c r="D710" t="str">
        <f>"F"</f>
        <v>F</v>
      </c>
      <c r="E710" t="s">
        <v>27</v>
      </c>
      <c r="F710" t="s">
        <v>18</v>
      </c>
      <c r="G710" t="str">
        <f>"U18"</f>
        <v>U18</v>
      </c>
      <c r="H710" t="str">
        <f>"-70"</f>
        <v>-70</v>
      </c>
      <c r="I710" t="str">
        <f>"0184288"</f>
        <v>0184288</v>
      </c>
      <c r="J710" t="str">
        <f>"Yes"</f>
        <v>Yes</v>
      </c>
      <c r="K710" t="str">
        <f>"Quebec"</f>
        <v>Quebec</v>
      </c>
      <c r="M710" t="str">
        <f>""</f>
        <v/>
      </c>
      <c r="N710" t="s">
        <v>509</v>
      </c>
    </row>
    <row r="711" spans="1:14" x14ac:dyDescent="0.25">
      <c r="A711" t="str">
        <f>"Simon"</f>
        <v>Simon</v>
      </c>
      <c r="B711" t="str">
        <f>"Vallière"</f>
        <v>Vallière</v>
      </c>
      <c r="C711" t="s">
        <v>81</v>
      </c>
      <c r="D711" t="str">
        <f>"M"</f>
        <v>M</v>
      </c>
      <c r="E711" t="s">
        <v>17</v>
      </c>
      <c r="F711" t="s">
        <v>18</v>
      </c>
      <c r="G711" t="s">
        <v>25</v>
      </c>
      <c r="H711" t="str">
        <f>"-81"</f>
        <v>-81</v>
      </c>
      <c r="I711" t="str">
        <f>"0175406"</f>
        <v>0175406</v>
      </c>
      <c r="J711" t="str">
        <f>"Yes"</f>
        <v>Yes</v>
      </c>
      <c r="K711" t="str">
        <f>"Quebec"</f>
        <v>Quebec</v>
      </c>
      <c r="M711" t="str">
        <f>"2 divisions : U18 + U21/Sénior B"</f>
        <v>2 divisions : U18 + U21/Sénior B</v>
      </c>
      <c r="N711" t="s">
        <v>485</v>
      </c>
    </row>
    <row r="712" spans="1:14" hidden="1" x14ac:dyDescent="0.25">
      <c r="A712" t="str">
        <f>"Nicolas"</f>
        <v>Nicolas</v>
      </c>
      <c r="B712" t="str">
        <f>"Levesque Lessard"</f>
        <v>Levesque Lessard</v>
      </c>
      <c r="C712" t="str">
        <f>"Judokan Port Cartier"</f>
        <v>Judokan Port Cartier</v>
      </c>
      <c r="D712" t="str">
        <f>"M"</f>
        <v>M</v>
      </c>
      <c r="E712" t="s">
        <v>71</v>
      </c>
      <c r="F712" t="s">
        <v>18</v>
      </c>
      <c r="G712" t="s">
        <v>72</v>
      </c>
      <c r="H712" t="str">
        <f>"-90"</f>
        <v>-90</v>
      </c>
      <c r="I712" t="str">
        <f>"0208174"</f>
        <v>0208174</v>
      </c>
      <c r="J712" t="str">
        <f t="shared" ref="J712:J719" si="3">"Yes"</f>
        <v>Yes</v>
      </c>
      <c r="K712" t="str">
        <f t="shared" ref="K712:K719" si="4">"Quebec"</f>
        <v>Quebec</v>
      </c>
      <c r="M712" t="str">
        <f>"2 divisions : U21/Senior B + Senior A"</f>
        <v>2 divisions : U21/Senior B + Senior A</v>
      </c>
      <c r="N712" t="s">
        <v>482</v>
      </c>
    </row>
    <row r="713" spans="1:14" hidden="1" x14ac:dyDescent="0.25">
      <c r="A713" t="s">
        <v>500</v>
      </c>
      <c r="B713" t="s">
        <v>501</v>
      </c>
      <c r="C713" t="s">
        <v>59</v>
      </c>
      <c r="D713" t="s">
        <v>52</v>
      </c>
      <c r="E713" t="s">
        <v>233</v>
      </c>
      <c r="F713" t="s">
        <v>18</v>
      </c>
      <c r="G713" t="s">
        <v>72</v>
      </c>
      <c r="H713">
        <v>-90</v>
      </c>
      <c r="I713" t="s">
        <v>502</v>
      </c>
      <c r="J713" t="s">
        <v>46</v>
      </c>
      <c r="K713" t="s">
        <v>47</v>
      </c>
      <c r="N713" t="s">
        <v>482</v>
      </c>
    </row>
    <row r="714" spans="1:14" hidden="1" x14ac:dyDescent="0.25">
      <c r="A714" t="str">
        <f>"Émylia"</f>
        <v>Émylia</v>
      </c>
      <c r="B714" t="str">
        <f>"Paredes Lavoie"</f>
        <v>Paredes Lavoie</v>
      </c>
      <c r="C714" t="str">
        <f>"Baie-Comeau"</f>
        <v>Baie-Comeau</v>
      </c>
      <c r="D714" t="str">
        <f>"F"</f>
        <v>F</v>
      </c>
      <c r="E714" t="s">
        <v>38</v>
      </c>
      <c r="F714" t="s">
        <v>64</v>
      </c>
      <c r="G714" t="str">
        <f>"U14"</f>
        <v>U14</v>
      </c>
      <c r="H714" t="str">
        <f>"-57"</f>
        <v>-57</v>
      </c>
      <c r="I714" t="str">
        <f>"0207037"</f>
        <v>0207037</v>
      </c>
      <c r="J714" t="str">
        <f t="shared" ref="J714:J725" si="5">"Yes"</f>
        <v>Yes</v>
      </c>
      <c r="K714" t="str">
        <f t="shared" ref="K714:K725" si="6">"Quebec"</f>
        <v>Quebec</v>
      </c>
      <c r="N714" t="s">
        <v>410</v>
      </c>
    </row>
    <row r="715" spans="1:14" hidden="1" x14ac:dyDescent="0.25">
      <c r="A715" t="str">
        <f>"James-Lewis"</f>
        <v>James-Lewis</v>
      </c>
      <c r="B715" t="str">
        <f>"Roberts"</f>
        <v>Roberts</v>
      </c>
      <c r="C715" t="str">
        <f>"Judo-Tech"</f>
        <v>Judo-Tech</v>
      </c>
      <c r="D715" t="str">
        <f t="shared" ref="D715:D721" si="7">"M"</f>
        <v>M</v>
      </c>
      <c r="E715" t="s">
        <v>38</v>
      </c>
      <c r="F715" t="s">
        <v>64</v>
      </c>
      <c r="G715" t="str">
        <f>"U14"</f>
        <v>U14</v>
      </c>
      <c r="H715" t="str">
        <f>"-60"</f>
        <v>-60</v>
      </c>
      <c r="I715" t="str">
        <f>"0184395"</f>
        <v>0184395</v>
      </c>
      <c r="J715" t="str">
        <f t="shared" si="5"/>
        <v>Yes</v>
      </c>
      <c r="K715" t="str">
        <f t="shared" si="6"/>
        <v>Quebec</v>
      </c>
      <c r="N715" t="s">
        <v>504</v>
      </c>
    </row>
    <row r="716" spans="1:14" hidden="1" x14ac:dyDescent="0.25">
      <c r="A716" t="str">
        <f>"Mohamed Amine"</f>
        <v>Mohamed Amine</v>
      </c>
      <c r="B716" t="str">
        <f>"Silem"</f>
        <v>Silem</v>
      </c>
      <c r="C716" t="str">
        <f>"St-Leonard"</f>
        <v>St-Leonard</v>
      </c>
      <c r="D716" t="str">
        <f t="shared" si="7"/>
        <v>M</v>
      </c>
      <c r="E716" t="s">
        <v>14</v>
      </c>
      <c r="F716" t="s">
        <v>64</v>
      </c>
      <c r="G716" t="str">
        <f>"U14"</f>
        <v>U14</v>
      </c>
      <c r="H716" t="str">
        <f>"-60"</f>
        <v>-60</v>
      </c>
      <c r="I716" t="str">
        <f>"0189927"</f>
        <v>0189927</v>
      </c>
      <c r="J716" t="str">
        <f t="shared" si="5"/>
        <v>Yes</v>
      </c>
      <c r="K716" t="str">
        <f t="shared" si="6"/>
        <v>Quebec</v>
      </c>
      <c r="M716" t="str">
        <f>""</f>
        <v/>
      </c>
      <c r="N716" t="s">
        <v>504</v>
      </c>
    </row>
    <row r="717" spans="1:14" hidden="1" x14ac:dyDescent="0.25">
      <c r="A717" t="str">
        <f>"Gabriel"</f>
        <v>Gabriel</v>
      </c>
      <c r="B717" t="str">
        <f>"Lehoux"</f>
        <v>Lehoux</v>
      </c>
      <c r="C717" t="str">
        <f>"Rikidokan"</f>
        <v>Rikidokan</v>
      </c>
      <c r="D717" t="str">
        <f t="shared" si="7"/>
        <v>M</v>
      </c>
      <c r="E717" t="s">
        <v>131</v>
      </c>
      <c r="F717" t="s">
        <v>37</v>
      </c>
      <c r="G717" t="str">
        <f>"U21/Senior Mudansha"</f>
        <v>U21/Senior Mudansha</v>
      </c>
      <c r="H717" t="str">
        <f>"-90"</f>
        <v>-90</v>
      </c>
      <c r="I717" t="str">
        <f>"0407415"</f>
        <v>0407415</v>
      </c>
      <c r="J717" t="str">
        <f t="shared" si="5"/>
        <v>Yes</v>
      </c>
      <c r="K717" t="str">
        <f t="shared" si="6"/>
        <v>Quebec</v>
      </c>
      <c r="M717" s="3" t="s">
        <v>511</v>
      </c>
      <c r="N717" t="s">
        <v>505</v>
      </c>
    </row>
    <row r="718" spans="1:14" hidden="1" x14ac:dyDescent="0.25">
      <c r="A718" t="str">
        <f>"Alain"</f>
        <v>Alain</v>
      </c>
      <c r="B718" t="str">
        <f>"Rady"</f>
        <v>Rady</v>
      </c>
      <c r="C718" t="str">
        <f>"Shidokan"</f>
        <v>Shidokan</v>
      </c>
      <c r="D718" t="str">
        <f t="shared" si="7"/>
        <v>M</v>
      </c>
      <c r="E718" t="s">
        <v>306</v>
      </c>
      <c r="F718" t="s">
        <v>15</v>
      </c>
      <c r="G718" t="str">
        <f>"U21/Senior Mudansha"</f>
        <v>U21/Senior Mudansha</v>
      </c>
      <c r="H718" t="str">
        <f>"-90"</f>
        <v>-90</v>
      </c>
      <c r="I718" t="str">
        <f>"0407974"</f>
        <v>0407974</v>
      </c>
      <c r="J718" t="str">
        <f t="shared" si="5"/>
        <v>Yes</v>
      </c>
      <c r="K718" t="str">
        <f t="shared" si="6"/>
        <v>Quebec</v>
      </c>
      <c r="N718" t="s">
        <v>505</v>
      </c>
    </row>
    <row r="719" spans="1:14" hidden="1" x14ac:dyDescent="0.25">
      <c r="A719" t="str">
        <f>"Gabriel"</f>
        <v>Gabriel</v>
      </c>
      <c r="B719" t="str">
        <f>"Guay"</f>
        <v>Guay</v>
      </c>
      <c r="C719" t="str">
        <f>"Saint-Sauveur"</f>
        <v>Saint-Sauveur</v>
      </c>
      <c r="D719" t="str">
        <f t="shared" si="7"/>
        <v>M</v>
      </c>
      <c r="E719" t="s">
        <v>24</v>
      </c>
      <c r="F719" t="s">
        <v>39</v>
      </c>
      <c r="G719" t="str">
        <f>"U16"</f>
        <v>U16</v>
      </c>
      <c r="H719" t="str">
        <f>"-73"</f>
        <v>-73</v>
      </c>
      <c r="I719" t="str">
        <f>"0188724"</f>
        <v>0188724</v>
      </c>
      <c r="J719" t="str">
        <f t="shared" si="5"/>
        <v>Yes</v>
      </c>
      <c r="K719" t="str">
        <f t="shared" si="6"/>
        <v>Quebec</v>
      </c>
      <c r="N719" t="s">
        <v>466</v>
      </c>
    </row>
    <row r="720" spans="1:14" hidden="1" x14ac:dyDescent="0.25">
      <c r="A720" t="str">
        <f>"Clarens Charlo"</f>
        <v>Clarens Charlo</v>
      </c>
      <c r="B720" t="str">
        <f>"Vincent"</f>
        <v>Vincent</v>
      </c>
      <c r="C720" t="str">
        <f>"Kiseki Judo"</f>
        <v>Kiseki Judo</v>
      </c>
      <c r="D720" t="str">
        <f t="shared" si="7"/>
        <v>M</v>
      </c>
      <c r="E720" t="s">
        <v>60</v>
      </c>
      <c r="F720" t="s">
        <v>15</v>
      </c>
      <c r="G720" t="str">
        <f>"U12"</f>
        <v>U12</v>
      </c>
      <c r="H720" t="str">
        <f>"-66"</f>
        <v>-66</v>
      </c>
      <c r="I720" t="str">
        <f>"0413110"</f>
        <v>0413110</v>
      </c>
      <c r="J720" t="str">
        <f t="shared" si="5"/>
        <v>Yes</v>
      </c>
      <c r="K720" t="str">
        <f t="shared" si="6"/>
        <v>Quebec</v>
      </c>
      <c r="M720" t="str">
        <f>""</f>
        <v/>
      </c>
      <c r="N720" t="s">
        <v>23</v>
      </c>
    </row>
    <row r="721" spans="1:14" hidden="1" x14ac:dyDescent="0.25">
      <c r="A721" t="str">
        <f>"Alexandre"</f>
        <v>Alexandre</v>
      </c>
      <c r="B721" t="str">
        <f>"Pelletier"</f>
        <v>Pelletier</v>
      </c>
      <c r="C721" t="str">
        <f>"Tani "</f>
        <v xml:space="preserve">Tani </v>
      </c>
      <c r="D721" t="str">
        <f t="shared" si="7"/>
        <v>M</v>
      </c>
      <c r="E721" t="s">
        <v>32</v>
      </c>
      <c r="F721" t="s">
        <v>39</v>
      </c>
      <c r="G721" t="str">
        <f>"U16"</f>
        <v>U16</v>
      </c>
      <c r="H721" t="str">
        <f>"-73"</f>
        <v>-73</v>
      </c>
      <c r="I721" t="str">
        <f>"0198155"</f>
        <v>0198155</v>
      </c>
      <c r="J721" t="str">
        <f t="shared" si="5"/>
        <v>Yes</v>
      </c>
      <c r="K721" t="str">
        <f t="shared" si="6"/>
        <v>Quebec</v>
      </c>
      <c r="N721" t="s">
        <v>466</v>
      </c>
    </row>
    <row r="722" spans="1:14" hidden="1" x14ac:dyDescent="0.25">
      <c r="A722" t="str">
        <f>"Lena"</f>
        <v>Lena</v>
      </c>
      <c r="B722" t="str">
        <f>"Vogt"</f>
        <v>Vogt</v>
      </c>
      <c r="C722" t="str">
        <f>"Judo Victo"</f>
        <v>Judo Victo</v>
      </c>
      <c r="D722" t="str">
        <f>"F"</f>
        <v>F</v>
      </c>
      <c r="E722" t="s">
        <v>60</v>
      </c>
      <c r="F722" t="s">
        <v>15</v>
      </c>
      <c r="G722" t="str">
        <f>"U12"</f>
        <v>U12</v>
      </c>
      <c r="H722" t="str">
        <f>"-30"</f>
        <v>-30</v>
      </c>
      <c r="I722" t="str">
        <f>"0233773"</f>
        <v>0233773</v>
      </c>
      <c r="J722" t="str">
        <f t="shared" si="5"/>
        <v>Yes</v>
      </c>
      <c r="K722" t="str">
        <f t="shared" si="6"/>
        <v>Quebec</v>
      </c>
      <c r="N722" t="s">
        <v>91</v>
      </c>
    </row>
    <row r="723" spans="1:14" hidden="1" x14ac:dyDescent="0.25">
      <c r="A723" t="str">
        <f>"Henri"</f>
        <v>Henri</v>
      </c>
      <c r="B723" t="str">
        <f>"Saumure"</f>
        <v>Saumure</v>
      </c>
      <c r="C723" t="str">
        <f>"Boucherville"</f>
        <v>Boucherville</v>
      </c>
      <c r="D723" t="str">
        <f>"M"</f>
        <v>M</v>
      </c>
      <c r="E723" s="3" t="s">
        <v>38</v>
      </c>
      <c r="F723" t="s">
        <v>33</v>
      </c>
      <c r="G723" t="s">
        <v>151</v>
      </c>
      <c r="H723">
        <v>-73</v>
      </c>
      <c r="I723" t="str">
        <f>"0181797"</f>
        <v>0181797</v>
      </c>
      <c r="J723" t="str">
        <f t="shared" si="5"/>
        <v>Yes</v>
      </c>
      <c r="K723" t="str">
        <f t="shared" si="6"/>
        <v>Quebec</v>
      </c>
      <c r="M723" t="s">
        <v>78</v>
      </c>
      <c r="N723" t="s">
        <v>466</v>
      </c>
    </row>
    <row r="724" spans="1:14" hidden="1" x14ac:dyDescent="0.25">
      <c r="A724" t="str">
        <f>"Kenia"</f>
        <v>Kenia</v>
      </c>
      <c r="B724" t="str">
        <f>"Vallieres"</f>
        <v>Vallieres</v>
      </c>
      <c r="C724" t="str">
        <f>"Shawinigan"</f>
        <v>Shawinigan</v>
      </c>
      <c r="D724" t="str">
        <f>"F"</f>
        <v>F</v>
      </c>
      <c r="E724" t="s">
        <v>38</v>
      </c>
      <c r="F724" t="s">
        <v>64</v>
      </c>
      <c r="G724" t="str">
        <f>"U14"</f>
        <v>U14</v>
      </c>
      <c r="H724" t="str">
        <f>"-57"</f>
        <v>-57</v>
      </c>
      <c r="I724" t="str">
        <f>"0216740"</f>
        <v>0216740</v>
      </c>
      <c r="J724" t="str">
        <f t="shared" si="5"/>
        <v>Yes</v>
      </c>
      <c r="K724" t="str">
        <f t="shared" si="6"/>
        <v>Quebec</v>
      </c>
      <c r="N724" t="s">
        <v>410</v>
      </c>
    </row>
    <row r="725" spans="1:14" hidden="1" x14ac:dyDescent="0.25">
      <c r="A725" t="str">
        <f>"Olivier"</f>
        <v>Olivier</v>
      </c>
      <c r="B725" t="str">
        <f>"Truchon"</f>
        <v>Truchon</v>
      </c>
      <c r="C725" t="str">
        <f>"CMR Saint-Jean"</f>
        <v>CMR Saint-Jean</v>
      </c>
      <c r="D725" t="str">
        <f>"M"</f>
        <v>M</v>
      </c>
      <c r="E725" t="s">
        <v>29</v>
      </c>
      <c r="F725" t="s">
        <v>64</v>
      </c>
      <c r="G725" t="str">
        <f>"U21/Senior Mudansha"</f>
        <v>U21/Senior Mudansha</v>
      </c>
      <c r="H725" t="str">
        <f>"-90"</f>
        <v>-90</v>
      </c>
      <c r="I725" t="str">
        <f>"0216348"</f>
        <v>0216348</v>
      </c>
      <c r="J725" t="str">
        <f t="shared" si="5"/>
        <v>Yes</v>
      </c>
      <c r="K725" t="str">
        <f t="shared" si="6"/>
        <v>Quebec</v>
      </c>
      <c r="M725" t="s">
        <v>19</v>
      </c>
      <c r="N725" t="s">
        <v>512</v>
      </c>
    </row>
    <row r="726" spans="1:14" hidden="1" x14ac:dyDescent="0.25">
      <c r="A726" t="s">
        <v>57</v>
      </c>
      <c r="B726" t="s">
        <v>513</v>
      </c>
      <c r="C726" t="s">
        <v>59</v>
      </c>
      <c r="D726" t="s">
        <v>52</v>
      </c>
      <c r="E726" t="s">
        <v>195</v>
      </c>
      <c r="F726" t="s">
        <v>39</v>
      </c>
      <c r="G726" t="s">
        <v>72</v>
      </c>
      <c r="H726">
        <v>-90</v>
      </c>
      <c r="I726" t="s">
        <v>514</v>
      </c>
      <c r="J726" t="s">
        <v>46</v>
      </c>
      <c r="K726" t="s">
        <v>47</v>
      </c>
      <c r="N726" t="s">
        <v>482</v>
      </c>
    </row>
    <row r="727" spans="1:14" hidden="1" x14ac:dyDescent="0.25">
      <c r="A727" t="str">
        <f>"Derek"</f>
        <v>Derek</v>
      </c>
      <c r="B727" t="str">
        <f>"Verreault"</f>
        <v>Verreault</v>
      </c>
      <c r="C727" t="s">
        <v>258</v>
      </c>
      <c r="D727" t="str">
        <f>"M"</f>
        <v>M</v>
      </c>
      <c r="E727" t="s">
        <v>306</v>
      </c>
      <c r="F727" t="s">
        <v>37</v>
      </c>
      <c r="G727" s="3" t="str">
        <f>"U21/Senior Mudansha"</f>
        <v>U21/Senior Mudansha</v>
      </c>
      <c r="H727" t="str">
        <f>"-73"</f>
        <v>-73</v>
      </c>
      <c r="I727" t="str">
        <f>"0236391"</f>
        <v>0236391</v>
      </c>
      <c r="J727" t="str">
        <f>"Yes"</f>
        <v>Yes</v>
      </c>
      <c r="K727" t="str">
        <f>"Quebec"</f>
        <v>Quebec</v>
      </c>
      <c r="M727" t="s">
        <v>19</v>
      </c>
      <c r="N727" s="2" t="s">
        <v>282</v>
      </c>
    </row>
    <row r="728" spans="1:14" hidden="1" x14ac:dyDescent="0.25">
      <c r="A728" t="str">
        <f>"Yuriy"</f>
        <v>Yuriy</v>
      </c>
      <c r="B728" t="str">
        <f>"Semenyuk"</f>
        <v>Semenyuk</v>
      </c>
      <c r="C728" t="str">
        <f>"Métropolitain"</f>
        <v>Métropolitain</v>
      </c>
      <c r="D728" t="str">
        <f>"M"</f>
        <v>M</v>
      </c>
      <c r="E728" t="s">
        <v>24</v>
      </c>
      <c r="F728" t="s">
        <v>18</v>
      </c>
      <c r="G728" t="s">
        <v>151</v>
      </c>
      <c r="H728" t="str">
        <f>"-73"</f>
        <v>-73</v>
      </c>
      <c r="I728" t="str">
        <f>"0197665"</f>
        <v>0197665</v>
      </c>
      <c r="J728" t="str">
        <f>"Yes"</f>
        <v>Yes</v>
      </c>
      <c r="K728" t="str">
        <f>"Quebec"</f>
        <v>Quebec</v>
      </c>
      <c r="M728" t="str">
        <f>"2 divisions : U16 + U18"</f>
        <v>2 divisions : U16 + U18</v>
      </c>
      <c r="N728" t="s">
        <v>466</v>
      </c>
    </row>
    <row r="729" spans="1:14" hidden="1" x14ac:dyDescent="0.25">
      <c r="A729" t="str">
        <f>"Florence"</f>
        <v>Florence</v>
      </c>
      <c r="B729" t="str">
        <f>"Ward"</f>
        <v>Ward</v>
      </c>
      <c r="C729" t="str">
        <f>"Sept-Iles"</f>
        <v>Sept-Iles</v>
      </c>
      <c r="D729" t="str">
        <f>"F"</f>
        <v>F</v>
      </c>
      <c r="E729" t="s">
        <v>14</v>
      </c>
      <c r="F729" t="s">
        <v>39</v>
      </c>
      <c r="G729" t="str">
        <f>"U14"</f>
        <v>U14</v>
      </c>
      <c r="H729" t="str">
        <f>"-36"</f>
        <v>-36</v>
      </c>
      <c r="I729" t="str">
        <f>"0174347"</f>
        <v>0174347</v>
      </c>
      <c r="J729" t="str">
        <f>"Yes"</f>
        <v>Yes</v>
      </c>
      <c r="K729" t="str">
        <f>"Quebec"</f>
        <v>Quebec</v>
      </c>
      <c r="M729" t="s">
        <v>110</v>
      </c>
      <c r="N729" t="s">
        <v>515</v>
      </c>
    </row>
    <row r="730" spans="1:14" hidden="1" x14ac:dyDescent="0.25">
      <c r="A730" t="str">
        <f>"John"</f>
        <v>John</v>
      </c>
      <c r="B730" t="str">
        <f>"Young"</f>
        <v>Young</v>
      </c>
      <c r="C730" t="str">
        <f>"CMR Saint-Jean"</f>
        <v>CMR Saint-Jean</v>
      </c>
      <c r="D730" t="str">
        <f>"M"</f>
        <v>M</v>
      </c>
      <c r="E730" t="s">
        <v>109</v>
      </c>
      <c r="F730" t="s">
        <v>37</v>
      </c>
      <c r="G730" t="str">
        <f>"U21/Senior Mudansha"</f>
        <v>U21/Senior Mudansha</v>
      </c>
      <c r="H730" t="str">
        <f>"-73"</f>
        <v>-73</v>
      </c>
      <c r="I730" t="str">
        <f>"0409442"</f>
        <v>0409442</v>
      </c>
      <c r="J730" t="str">
        <f>"Yes"</f>
        <v>Yes</v>
      </c>
      <c r="K730" t="str">
        <f>"Quebec"</f>
        <v>Quebec</v>
      </c>
      <c r="M730" t="s">
        <v>19</v>
      </c>
      <c r="N730" s="2" t="s">
        <v>357</v>
      </c>
    </row>
    <row r="731" spans="1:14" hidden="1" x14ac:dyDescent="0.25">
      <c r="A731" t="s">
        <v>500</v>
      </c>
      <c r="B731" t="s">
        <v>501</v>
      </c>
      <c r="C731" t="s">
        <v>59</v>
      </c>
      <c r="D731" t="s">
        <v>52</v>
      </c>
      <c r="E731" t="s">
        <v>233</v>
      </c>
      <c r="F731" t="s">
        <v>18</v>
      </c>
      <c r="G731" t="s">
        <v>53</v>
      </c>
      <c r="H731">
        <v>-90</v>
      </c>
      <c r="I731" t="s">
        <v>502</v>
      </c>
      <c r="J731" t="s">
        <v>46</v>
      </c>
      <c r="K731" t="s">
        <v>47</v>
      </c>
      <c r="N731" t="s">
        <v>462</v>
      </c>
    </row>
    <row r="732" spans="1:14" hidden="1" x14ac:dyDescent="0.25">
      <c r="A732" t="str">
        <f>"Vincent"</f>
        <v>Vincent</v>
      </c>
      <c r="B732" t="str">
        <f>"Pigeon"</f>
        <v>Pigeon</v>
      </c>
      <c r="C732" t="s">
        <v>258</v>
      </c>
      <c r="D732" t="str">
        <f t="shared" ref="D732:D737" si="8">"M"</f>
        <v>M</v>
      </c>
      <c r="E732" t="s">
        <v>84</v>
      </c>
      <c r="F732" t="s">
        <v>132</v>
      </c>
      <c r="G732" t="str">
        <f>"Senior A"</f>
        <v>Senior A</v>
      </c>
      <c r="H732" s="1" t="str">
        <f>"-90"</f>
        <v>-90</v>
      </c>
      <c r="I732" t="str">
        <f>"0012317"</f>
        <v>0012317</v>
      </c>
      <c r="J732" t="str">
        <f>"Yes"</f>
        <v>Yes</v>
      </c>
      <c r="K732" t="str">
        <f t="shared" ref="K732:K737" si="9">"Quebec"</f>
        <v>Quebec</v>
      </c>
      <c r="M732" t="str">
        <f>""</f>
        <v/>
      </c>
      <c r="N732" t="s">
        <v>441</v>
      </c>
    </row>
    <row r="733" spans="1:14" hidden="1" x14ac:dyDescent="0.25">
      <c r="A733" t="str">
        <f>"Gaetan"</f>
        <v>Gaetan</v>
      </c>
      <c r="B733" t="str">
        <f>"Jean-Pierre"</f>
        <v>Jean-Pierre</v>
      </c>
      <c r="C733" t="s">
        <v>258</v>
      </c>
      <c r="D733" t="str">
        <f t="shared" si="8"/>
        <v>M</v>
      </c>
      <c r="E733">
        <v>1975</v>
      </c>
      <c r="F733" t="s">
        <v>516</v>
      </c>
      <c r="G733" t="str">
        <f>"Vétéran (Seulement)"</f>
        <v>Vétéran (Seulement)</v>
      </c>
      <c r="H733" t="str">
        <f>"-66"</f>
        <v>-66</v>
      </c>
      <c r="J733" t="str">
        <f>"Oui"</f>
        <v>Oui</v>
      </c>
      <c r="K733" t="str">
        <f t="shared" si="9"/>
        <v>Quebec</v>
      </c>
    </row>
    <row r="734" spans="1:14" hidden="1" x14ac:dyDescent="0.25">
      <c r="A734" t="str">
        <f>"Amer"</f>
        <v>Amer</v>
      </c>
      <c r="B734" t="str">
        <f>"Zerrad"</f>
        <v>Zerrad</v>
      </c>
      <c r="C734" t="str">
        <f>"Univestrie/donini"</f>
        <v>Univestrie/donini</v>
      </c>
      <c r="D734" t="str">
        <f t="shared" si="8"/>
        <v>M</v>
      </c>
      <c r="E734" t="s">
        <v>32</v>
      </c>
      <c r="F734" t="s">
        <v>90</v>
      </c>
      <c r="G734" t="str">
        <f>"U16"</f>
        <v>U16</v>
      </c>
      <c r="H734" t="str">
        <f>"-38"</f>
        <v>-38</v>
      </c>
      <c r="I734" t="str">
        <f>"0235319"</f>
        <v>0235319</v>
      </c>
      <c r="J734" t="str">
        <f>"Yes"</f>
        <v>Yes</v>
      </c>
      <c r="K734" t="str">
        <f t="shared" si="9"/>
        <v>Quebec</v>
      </c>
      <c r="M734" t="s">
        <v>517</v>
      </c>
      <c r="N734" t="s">
        <v>518</v>
      </c>
    </row>
    <row r="735" spans="1:14" hidden="1" x14ac:dyDescent="0.25">
      <c r="A735" t="str">
        <f>"Derek"</f>
        <v>Derek</v>
      </c>
      <c r="B735" t="str">
        <f>"Gaudreault"</f>
        <v>Gaudreault</v>
      </c>
      <c r="C735" t="s">
        <v>387</v>
      </c>
      <c r="D735" t="str">
        <f t="shared" si="8"/>
        <v>M</v>
      </c>
      <c r="E735">
        <v>2009</v>
      </c>
      <c r="F735" t="s">
        <v>15</v>
      </c>
      <c r="G735" t="str">
        <f>"U12"</f>
        <v>U12</v>
      </c>
      <c r="H735" t="str">
        <f>"-27"</f>
        <v>-27</v>
      </c>
      <c r="J735" t="str">
        <f>"Oui"</f>
        <v>Oui</v>
      </c>
      <c r="K735" t="str">
        <f t="shared" si="9"/>
        <v>Quebec</v>
      </c>
      <c r="N735" t="s">
        <v>23</v>
      </c>
    </row>
    <row r="736" spans="1:14" hidden="1" x14ac:dyDescent="0.25">
      <c r="A736" t="str">
        <f>"Florent"</f>
        <v>Florent</v>
      </c>
      <c r="B736" t="str">
        <f>"Parisien"</f>
        <v>Parisien</v>
      </c>
      <c r="C736" t="s">
        <v>211</v>
      </c>
      <c r="D736" t="str">
        <f t="shared" si="8"/>
        <v>M</v>
      </c>
      <c r="E736">
        <v>2008</v>
      </c>
      <c r="F736" t="s">
        <v>15</v>
      </c>
      <c r="G736" t="str">
        <f>"U12"</f>
        <v>U12</v>
      </c>
      <c r="H736" t="str">
        <f>"-42"</f>
        <v>-42</v>
      </c>
      <c r="J736" t="str">
        <f>"Oui"</f>
        <v>Oui</v>
      </c>
      <c r="K736" t="str">
        <f t="shared" si="9"/>
        <v>Quebec</v>
      </c>
      <c r="N736" t="s">
        <v>23</v>
      </c>
    </row>
    <row r="737" spans="1:14" hidden="1" x14ac:dyDescent="0.25">
      <c r="A737" t="str">
        <f>"Francis"</f>
        <v>Francis</v>
      </c>
      <c r="B737" t="str">
        <f>"Villeneuve"</f>
        <v>Villeneuve</v>
      </c>
      <c r="C737" t="str">
        <f>"Sept-Iles"</f>
        <v>Sept-Iles</v>
      </c>
      <c r="D737" t="str">
        <f t="shared" si="8"/>
        <v>M</v>
      </c>
      <c r="E737" t="s">
        <v>32</v>
      </c>
      <c r="F737" t="s">
        <v>39</v>
      </c>
      <c r="G737" t="str">
        <f>"U16"</f>
        <v>U16</v>
      </c>
      <c r="H737" t="str">
        <f>"-73"</f>
        <v>-73</v>
      </c>
      <c r="I737" t="str">
        <f>"0198249"</f>
        <v>0198249</v>
      </c>
      <c r="J737" t="str">
        <f>"Yes"</f>
        <v>Yes</v>
      </c>
      <c r="K737" t="str">
        <f t="shared" si="9"/>
        <v>Quebec</v>
      </c>
      <c r="N737" t="s">
        <v>466</v>
      </c>
    </row>
  </sheetData>
  <autoFilter ref="A1:AA737">
    <filterColumn colId="6">
      <filters>
        <filter val="U18"/>
      </filters>
    </filterColumn>
    <sortState ref="A3:O711">
      <sortCondition ref="B1:B737"/>
    </sortState>
  </autoFilter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0"/>
  <sheetViews>
    <sheetView workbookViewId="0">
      <pane xSplit="2" ySplit="1" topLeftCell="C20" activePane="bottomRight" state="frozen"/>
      <selection activeCell="A2" sqref="A2:O737"/>
      <selection pane="topRight" activeCell="A2" sqref="A2:O737"/>
      <selection pane="bottomLeft" activeCell="A2" sqref="A2:O737"/>
      <selection pane="bottomRight" activeCell="A2" sqref="A2:O737"/>
    </sheetView>
  </sheetViews>
  <sheetFormatPr baseColWidth="10" defaultColWidth="28" defaultRowHeight="15" x14ac:dyDescent="0.25"/>
  <cols>
    <col min="1" max="1" width="17" customWidth="1"/>
    <col min="2" max="2" width="18.140625" customWidth="1"/>
    <col min="3" max="3" width="20" customWidth="1"/>
    <col min="4" max="4" width="7.5703125" customWidth="1"/>
    <col min="5" max="5" width="9.140625" customWidth="1"/>
    <col min="6" max="6" width="9.42578125" customWidth="1"/>
    <col min="7" max="7" width="15.28515625" customWidth="1"/>
    <col min="8" max="8" width="7.28515625" style="1" customWidth="1"/>
    <col min="9" max="12" width="7.28515625" customWidth="1"/>
    <col min="13" max="13" width="17.140625" customWidth="1"/>
    <col min="14" max="15" width="28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  <c r="J1" t="s">
        <v>9</v>
      </c>
      <c r="K1" t="str">
        <f>"PROVINCE/STATE (CANADA/US) OR COUNTRY"</f>
        <v>PROVINCE/STATE (CANADA/US) OR COUNTRY</v>
      </c>
      <c r="L1" t="s">
        <v>10</v>
      </c>
      <c r="M1" t="s">
        <v>11</v>
      </c>
      <c r="N1" t="s">
        <v>12</v>
      </c>
      <c r="O1" t="s">
        <v>13</v>
      </c>
    </row>
    <row r="2" spans="1:15" x14ac:dyDescent="0.25">
      <c r="H2"/>
    </row>
    <row r="3" spans="1:15" ht="26.25" x14ac:dyDescent="0.4">
      <c r="A3" s="8" t="s">
        <v>519</v>
      </c>
      <c r="H3"/>
    </row>
    <row r="4" spans="1:15" x14ac:dyDescent="0.25">
      <c r="A4" t="s">
        <v>520</v>
      </c>
      <c r="B4" t="s">
        <v>521</v>
      </c>
      <c r="C4" t="s">
        <v>213</v>
      </c>
      <c r="D4" t="s">
        <v>52</v>
      </c>
      <c r="E4" t="s">
        <v>17</v>
      </c>
      <c r="F4" t="s">
        <v>18</v>
      </c>
      <c r="G4" t="s">
        <v>25</v>
      </c>
      <c r="H4" t="s">
        <v>522</v>
      </c>
      <c r="I4" t="s">
        <v>523</v>
      </c>
      <c r="J4" t="s">
        <v>46</v>
      </c>
      <c r="K4" t="s">
        <v>47</v>
      </c>
      <c r="M4" t="s">
        <v>19</v>
      </c>
      <c r="N4" t="s">
        <v>20</v>
      </c>
    </row>
    <row r="5" spans="1:15" x14ac:dyDescent="0.25">
      <c r="A5" t="s">
        <v>524</v>
      </c>
      <c r="B5" t="s">
        <v>114</v>
      </c>
      <c r="C5" t="s">
        <v>407</v>
      </c>
      <c r="D5" t="s">
        <v>44</v>
      </c>
      <c r="E5" t="s">
        <v>29</v>
      </c>
      <c r="F5" t="s">
        <v>15</v>
      </c>
      <c r="G5" t="s">
        <v>196</v>
      </c>
      <c r="H5" t="s">
        <v>525</v>
      </c>
      <c r="I5" t="s">
        <v>526</v>
      </c>
      <c r="J5" t="s">
        <v>46</v>
      </c>
      <c r="K5" t="s">
        <v>47</v>
      </c>
      <c r="M5" t="s">
        <v>110</v>
      </c>
      <c r="N5" t="s">
        <v>88</v>
      </c>
    </row>
    <row r="6" spans="1:15" x14ac:dyDescent="0.25">
      <c r="A6" t="s">
        <v>450</v>
      </c>
      <c r="B6" t="s">
        <v>451</v>
      </c>
      <c r="C6" t="s">
        <v>189</v>
      </c>
      <c r="D6" t="s">
        <v>44</v>
      </c>
      <c r="E6" t="s">
        <v>306</v>
      </c>
      <c r="F6" t="s">
        <v>18</v>
      </c>
      <c r="G6" t="s">
        <v>72</v>
      </c>
      <c r="H6" t="s">
        <v>525</v>
      </c>
      <c r="I6" t="s">
        <v>452</v>
      </c>
      <c r="J6" t="s">
        <v>46</v>
      </c>
      <c r="K6" t="s">
        <v>47</v>
      </c>
      <c r="M6" t="s">
        <v>453</v>
      </c>
      <c r="N6" t="s">
        <v>527</v>
      </c>
    </row>
    <row r="7" spans="1:15" x14ac:dyDescent="0.25">
      <c r="A7" t="s">
        <v>450</v>
      </c>
      <c r="B7" t="s">
        <v>451</v>
      </c>
      <c r="C7" t="s">
        <v>189</v>
      </c>
      <c r="D7" t="s">
        <v>44</v>
      </c>
      <c r="E7" t="s">
        <v>306</v>
      </c>
      <c r="F7" t="s">
        <v>18</v>
      </c>
      <c r="G7" t="s">
        <v>85</v>
      </c>
      <c r="H7" s="1">
        <v>-70</v>
      </c>
      <c r="I7" t="s">
        <v>452</v>
      </c>
      <c r="J7" t="s">
        <v>46</v>
      </c>
      <c r="K7" t="s">
        <v>47</v>
      </c>
      <c r="M7" t="s">
        <v>453</v>
      </c>
      <c r="N7" t="s">
        <v>528</v>
      </c>
    </row>
    <row r="8" spans="1:15" x14ac:dyDescent="0.25">
      <c r="A8" t="s">
        <v>49</v>
      </c>
      <c r="B8" t="s">
        <v>50</v>
      </c>
      <c r="C8" t="s">
        <v>51</v>
      </c>
      <c r="D8" t="s">
        <v>52</v>
      </c>
      <c r="E8" t="s">
        <v>24</v>
      </c>
      <c r="F8" t="s">
        <v>18</v>
      </c>
      <c r="G8" t="s">
        <v>53</v>
      </c>
      <c r="H8">
        <v>-55</v>
      </c>
      <c r="I8" t="s">
        <v>54</v>
      </c>
      <c r="J8" t="s">
        <v>46</v>
      </c>
      <c r="K8" t="s">
        <v>47</v>
      </c>
      <c r="M8" t="s">
        <v>529</v>
      </c>
      <c r="N8" t="s">
        <v>56</v>
      </c>
    </row>
    <row r="9" spans="1:15" x14ac:dyDescent="0.25">
      <c r="A9" t="s">
        <v>164</v>
      </c>
      <c r="B9" t="s">
        <v>165</v>
      </c>
      <c r="C9" t="s">
        <v>166</v>
      </c>
      <c r="D9" t="s">
        <v>44</v>
      </c>
      <c r="E9" t="s">
        <v>24</v>
      </c>
      <c r="F9" t="s">
        <v>39</v>
      </c>
      <c r="G9" t="s">
        <v>25</v>
      </c>
      <c r="H9">
        <v>-44</v>
      </c>
      <c r="I9" t="s">
        <v>167</v>
      </c>
      <c r="J9" t="s">
        <v>46</v>
      </c>
      <c r="K9" t="s">
        <v>47</v>
      </c>
      <c r="M9" t="s">
        <v>168</v>
      </c>
      <c r="N9" t="s">
        <v>169</v>
      </c>
    </row>
    <row r="10" spans="1:15" x14ac:dyDescent="0.25">
      <c r="A10" t="s">
        <v>530</v>
      </c>
      <c r="B10" t="s">
        <v>531</v>
      </c>
      <c r="C10" t="s">
        <v>532</v>
      </c>
      <c r="D10" t="s">
        <v>52</v>
      </c>
      <c r="E10" t="s">
        <v>14</v>
      </c>
      <c r="F10" t="s">
        <v>90</v>
      </c>
      <c r="G10" t="s">
        <v>95</v>
      </c>
      <c r="H10" t="s">
        <v>533</v>
      </c>
      <c r="I10" t="s">
        <v>534</v>
      </c>
      <c r="J10" t="s">
        <v>46</v>
      </c>
      <c r="K10" t="s">
        <v>47</v>
      </c>
      <c r="M10" t="s">
        <v>19</v>
      </c>
      <c r="N10" t="s">
        <v>105</v>
      </c>
    </row>
    <row r="11" spans="1:15" x14ac:dyDescent="0.25">
      <c r="A11" t="str">
        <f>"Daniel"</f>
        <v>Daniel</v>
      </c>
      <c r="B11" t="str">
        <f>"Curry"</f>
        <v>Curry</v>
      </c>
      <c r="C11" t="str">
        <f>"CMR Saint-Jean"</f>
        <v>CMR Saint-Jean</v>
      </c>
      <c r="D11" t="str">
        <f>"M"</f>
        <v>M</v>
      </c>
      <c r="E11" t="s">
        <v>29</v>
      </c>
      <c r="F11" t="s">
        <v>39</v>
      </c>
      <c r="G11" t="str">
        <f>"U21/Senior Mudansha"</f>
        <v>U21/Senior Mudansha</v>
      </c>
      <c r="H11" t="str">
        <f>"-66"</f>
        <v>-66</v>
      </c>
      <c r="I11" t="str">
        <f>"0192064"</f>
        <v>0192064</v>
      </c>
      <c r="J11" t="str">
        <f>"Yes"</f>
        <v>Yes</v>
      </c>
      <c r="K11" t="str">
        <f>"Quebec"</f>
        <v>Quebec</v>
      </c>
      <c r="M11" t="s">
        <v>19</v>
      </c>
      <c r="N11" t="s">
        <v>535</v>
      </c>
    </row>
    <row r="12" spans="1:15" x14ac:dyDescent="0.25">
      <c r="A12" t="s">
        <v>536</v>
      </c>
      <c r="B12" t="s">
        <v>537</v>
      </c>
      <c r="C12" t="s">
        <v>538</v>
      </c>
      <c r="D12" t="s">
        <v>44</v>
      </c>
      <c r="E12" t="s">
        <v>109</v>
      </c>
      <c r="F12" t="s">
        <v>37</v>
      </c>
      <c r="G12" t="s">
        <v>196</v>
      </c>
      <c r="H12" t="s">
        <v>539</v>
      </c>
      <c r="I12" t="s">
        <v>540</v>
      </c>
      <c r="J12" t="s">
        <v>46</v>
      </c>
      <c r="K12" t="s">
        <v>47</v>
      </c>
      <c r="M12" t="s">
        <v>541</v>
      </c>
      <c r="N12" t="s">
        <v>542</v>
      </c>
    </row>
    <row r="13" spans="1:15" x14ac:dyDescent="0.25">
      <c r="A13" t="s">
        <v>144</v>
      </c>
      <c r="B13" t="s">
        <v>66</v>
      </c>
      <c r="C13" t="s">
        <v>145</v>
      </c>
      <c r="D13" t="s">
        <v>44</v>
      </c>
      <c r="E13" t="s">
        <v>17</v>
      </c>
      <c r="F13" t="s">
        <v>18</v>
      </c>
      <c r="G13" t="s">
        <v>72</v>
      </c>
      <c r="H13">
        <v>78</v>
      </c>
      <c r="I13" t="s">
        <v>146</v>
      </c>
      <c r="J13" t="s">
        <v>46</v>
      </c>
      <c r="K13" t="s">
        <v>47</v>
      </c>
      <c r="M13" t="s">
        <v>147</v>
      </c>
      <c r="N13" t="s">
        <v>543</v>
      </c>
    </row>
    <row r="14" spans="1:15" x14ac:dyDescent="0.25">
      <c r="A14" t="s">
        <v>544</v>
      </c>
      <c r="B14" t="s">
        <v>545</v>
      </c>
      <c r="C14" t="s">
        <v>546</v>
      </c>
      <c r="D14" t="s">
        <v>52</v>
      </c>
      <c r="E14" t="s">
        <v>27</v>
      </c>
      <c r="F14" t="s">
        <v>37</v>
      </c>
      <c r="G14" t="s">
        <v>25</v>
      </c>
      <c r="H14" t="s">
        <v>533</v>
      </c>
      <c r="I14" t="s">
        <v>547</v>
      </c>
      <c r="J14" t="s">
        <v>46</v>
      </c>
      <c r="K14" t="s">
        <v>47</v>
      </c>
      <c r="M14" t="s">
        <v>19</v>
      </c>
      <c r="N14" t="s">
        <v>122</v>
      </c>
    </row>
    <row r="15" spans="1:15" x14ac:dyDescent="0.25">
      <c r="A15" t="s">
        <v>548</v>
      </c>
      <c r="B15" t="s">
        <v>545</v>
      </c>
      <c r="C15" t="s">
        <v>546</v>
      </c>
      <c r="D15" t="s">
        <v>52</v>
      </c>
      <c r="E15" t="s">
        <v>32</v>
      </c>
      <c r="F15" t="s">
        <v>37</v>
      </c>
      <c r="G15" t="s">
        <v>151</v>
      </c>
      <c r="H15" t="s">
        <v>549</v>
      </c>
      <c r="I15" t="s">
        <v>550</v>
      </c>
      <c r="J15" t="s">
        <v>46</v>
      </c>
      <c r="K15" t="s">
        <v>47</v>
      </c>
      <c r="M15" t="s">
        <v>19</v>
      </c>
      <c r="N15" t="s">
        <v>137</v>
      </c>
    </row>
    <row r="16" spans="1:15" x14ac:dyDescent="0.25">
      <c r="A16" t="s">
        <v>276</v>
      </c>
      <c r="B16" t="s">
        <v>228</v>
      </c>
      <c r="C16" t="s">
        <v>59</v>
      </c>
      <c r="D16" t="s">
        <v>44</v>
      </c>
      <c r="E16" t="s">
        <v>32</v>
      </c>
      <c r="F16" t="s">
        <v>15</v>
      </c>
      <c r="G16" t="s">
        <v>151</v>
      </c>
      <c r="H16">
        <v>-44</v>
      </c>
      <c r="I16" t="s">
        <v>277</v>
      </c>
      <c r="J16" t="s">
        <v>46</v>
      </c>
      <c r="K16" t="s">
        <v>47</v>
      </c>
      <c r="M16" t="s">
        <v>110</v>
      </c>
      <c r="N16" t="s">
        <v>551</v>
      </c>
    </row>
    <row r="17" spans="1:14" x14ac:dyDescent="0.25">
      <c r="A17" t="s">
        <v>552</v>
      </c>
      <c r="B17" t="s">
        <v>553</v>
      </c>
      <c r="C17" t="s">
        <v>28</v>
      </c>
      <c r="D17" t="s">
        <v>52</v>
      </c>
      <c r="E17" t="s">
        <v>32</v>
      </c>
      <c r="F17" t="s">
        <v>90</v>
      </c>
      <c r="G17" t="s">
        <v>151</v>
      </c>
      <c r="H17" t="s">
        <v>554</v>
      </c>
      <c r="I17" t="s">
        <v>555</v>
      </c>
      <c r="J17" t="s">
        <v>46</v>
      </c>
      <c r="K17" t="s">
        <v>47</v>
      </c>
      <c r="M17" t="s">
        <v>19</v>
      </c>
      <c r="N17" t="s">
        <v>174</v>
      </c>
    </row>
    <row r="18" spans="1:14" x14ac:dyDescent="0.25">
      <c r="A18" t="s">
        <v>556</v>
      </c>
      <c r="B18" t="s">
        <v>557</v>
      </c>
      <c r="C18" t="s">
        <v>558</v>
      </c>
      <c r="D18" t="s">
        <v>44</v>
      </c>
      <c r="E18" t="s">
        <v>38</v>
      </c>
      <c r="F18" t="s">
        <v>64</v>
      </c>
      <c r="G18" t="s">
        <v>95</v>
      </c>
      <c r="H18" t="s">
        <v>559</v>
      </c>
      <c r="I18" t="s">
        <v>560</v>
      </c>
      <c r="J18" t="s">
        <v>46</v>
      </c>
      <c r="K18" t="s">
        <v>47</v>
      </c>
      <c r="M18" t="s">
        <v>561</v>
      </c>
      <c r="N18" t="s">
        <v>226</v>
      </c>
    </row>
    <row r="19" spans="1:14" x14ac:dyDescent="0.25">
      <c r="A19" t="s">
        <v>562</v>
      </c>
      <c r="B19" t="s">
        <v>563</v>
      </c>
      <c r="C19" t="s">
        <v>108</v>
      </c>
      <c r="D19" t="s">
        <v>44</v>
      </c>
      <c r="E19" t="s">
        <v>32</v>
      </c>
      <c r="F19" t="s">
        <v>90</v>
      </c>
      <c r="G19" t="s">
        <v>151</v>
      </c>
      <c r="H19" t="s">
        <v>564</v>
      </c>
      <c r="I19" t="s">
        <v>565</v>
      </c>
      <c r="J19" t="s">
        <v>46</v>
      </c>
      <c r="K19" t="s">
        <v>47</v>
      </c>
      <c r="M19" t="s">
        <v>110</v>
      </c>
      <c r="N19" t="s">
        <v>257</v>
      </c>
    </row>
    <row r="20" spans="1:14" x14ac:dyDescent="0.25">
      <c r="A20" t="s">
        <v>506</v>
      </c>
      <c r="B20" t="s">
        <v>566</v>
      </c>
      <c r="C20" t="s">
        <v>567</v>
      </c>
      <c r="D20" t="s">
        <v>44</v>
      </c>
      <c r="E20" t="s">
        <v>27</v>
      </c>
      <c r="F20" t="s">
        <v>37</v>
      </c>
      <c r="G20" t="s">
        <v>25</v>
      </c>
      <c r="H20" t="s">
        <v>525</v>
      </c>
      <c r="I20" t="s">
        <v>568</v>
      </c>
      <c r="J20" t="s">
        <v>46</v>
      </c>
      <c r="K20" t="s">
        <v>47</v>
      </c>
      <c r="M20" t="s">
        <v>110</v>
      </c>
      <c r="N20" t="s">
        <v>300</v>
      </c>
    </row>
    <row r="21" spans="1:14" x14ac:dyDescent="0.25">
      <c r="A21" t="s">
        <v>569</v>
      </c>
      <c r="B21" t="s">
        <v>201</v>
      </c>
      <c r="C21" t="s">
        <v>258</v>
      </c>
      <c r="D21" t="s">
        <v>44</v>
      </c>
      <c r="E21" t="s">
        <v>332</v>
      </c>
      <c r="F21" t="s">
        <v>30</v>
      </c>
      <c r="G21" t="s">
        <v>85</v>
      </c>
      <c r="H21" s="1" t="s">
        <v>570</v>
      </c>
      <c r="I21" t="s">
        <v>571</v>
      </c>
      <c r="J21" t="s">
        <v>46</v>
      </c>
      <c r="K21" t="s">
        <v>47</v>
      </c>
      <c r="M21" t="s">
        <v>110</v>
      </c>
      <c r="N21" t="s">
        <v>572</v>
      </c>
    </row>
    <row r="22" spans="1:14" x14ac:dyDescent="0.25">
      <c r="A22" t="s">
        <v>218</v>
      </c>
      <c r="B22" t="s">
        <v>573</v>
      </c>
      <c r="C22" t="s">
        <v>51</v>
      </c>
      <c r="D22" t="s">
        <v>52</v>
      </c>
      <c r="E22" t="s">
        <v>38</v>
      </c>
      <c r="F22" t="s">
        <v>64</v>
      </c>
      <c r="G22" t="s">
        <v>95</v>
      </c>
      <c r="H22" t="s">
        <v>533</v>
      </c>
      <c r="I22" t="s">
        <v>574</v>
      </c>
      <c r="J22" t="s">
        <v>46</v>
      </c>
      <c r="K22" t="s">
        <v>47</v>
      </c>
      <c r="M22" t="s">
        <v>19</v>
      </c>
      <c r="N22" t="s">
        <v>338</v>
      </c>
    </row>
    <row r="23" spans="1:14" x14ac:dyDescent="0.25">
      <c r="A23" t="s">
        <v>340</v>
      </c>
      <c r="B23" t="s">
        <v>341</v>
      </c>
      <c r="C23" t="s">
        <v>59</v>
      </c>
      <c r="D23" t="s">
        <v>44</v>
      </c>
      <c r="E23" t="s">
        <v>27</v>
      </c>
      <c r="F23" t="s">
        <v>15</v>
      </c>
      <c r="G23" t="s">
        <v>25</v>
      </c>
      <c r="H23">
        <v>-48</v>
      </c>
      <c r="I23" t="s">
        <v>342</v>
      </c>
      <c r="J23" t="s">
        <v>46</v>
      </c>
      <c r="K23" t="s">
        <v>47</v>
      </c>
      <c r="M23" t="s">
        <v>110</v>
      </c>
      <c r="N23" t="s">
        <v>343</v>
      </c>
    </row>
    <row r="24" spans="1:14" x14ac:dyDescent="0.25">
      <c r="A24" t="s">
        <v>575</v>
      </c>
      <c r="B24" t="s">
        <v>576</v>
      </c>
      <c r="C24" t="s">
        <v>577</v>
      </c>
      <c r="D24" t="s">
        <v>44</v>
      </c>
      <c r="E24" t="s">
        <v>32</v>
      </c>
      <c r="F24" t="s">
        <v>90</v>
      </c>
      <c r="G24" t="s">
        <v>151</v>
      </c>
      <c r="H24" t="s">
        <v>525</v>
      </c>
      <c r="I24" t="s">
        <v>578</v>
      </c>
      <c r="J24" t="s">
        <v>46</v>
      </c>
      <c r="K24" t="s">
        <v>47</v>
      </c>
      <c r="M24" t="s">
        <v>110</v>
      </c>
      <c r="N24" t="s">
        <v>350</v>
      </c>
    </row>
    <row r="25" spans="1:14" x14ac:dyDescent="0.25">
      <c r="A25" t="s">
        <v>579</v>
      </c>
      <c r="B25" t="s">
        <v>580</v>
      </c>
      <c r="C25" t="s">
        <v>99</v>
      </c>
      <c r="D25" t="s">
        <v>52</v>
      </c>
      <c r="E25" t="s">
        <v>27</v>
      </c>
      <c r="F25" t="s">
        <v>18</v>
      </c>
      <c r="G25" t="s">
        <v>25</v>
      </c>
      <c r="H25" t="s">
        <v>581</v>
      </c>
      <c r="I25" t="s">
        <v>582</v>
      </c>
      <c r="J25" t="s">
        <v>46</v>
      </c>
      <c r="K25" t="s">
        <v>47</v>
      </c>
      <c r="M25" t="s">
        <v>19</v>
      </c>
      <c r="N25" t="s">
        <v>356</v>
      </c>
    </row>
    <row r="26" spans="1:14" x14ac:dyDescent="0.25">
      <c r="A26" t="s">
        <v>583</v>
      </c>
      <c r="B26" t="s">
        <v>584</v>
      </c>
      <c r="C26" t="s">
        <v>585</v>
      </c>
      <c r="D26" t="s">
        <v>44</v>
      </c>
      <c r="E26" t="s">
        <v>32</v>
      </c>
      <c r="F26" t="s">
        <v>37</v>
      </c>
      <c r="G26" t="s">
        <v>151</v>
      </c>
      <c r="H26" t="s">
        <v>586</v>
      </c>
      <c r="I26" t="s">
        <v>587</v>
      </c>
      <c r="J26" t="s">
        <v>46</v>
      </c>
      <c r="K26" t="s">
        <v>47</v>
      </c>
      <c r="M26" t="s">
        <v>110</v>
      </c>
      <c r="N26" t="s">
        <v>369</v>
      </c>
    </row>
    <row r="27" spans="1:14" x14ac:dyDescent="0.25">
      <c r="A27" t="str">
        <f>"Maxime"</f>
        <v>Maxime</v>
      </c>
      <c r="B27" t="str">
        <f>"Ouimet"</f>
        <v>Ouimet</v>
      </c>
      <c r="C27" t="str">
        <f>"Shidokan"</f>
        <v>Shidokan</v>
      </c>
      <c r="D27" t="str">
        <f>"M"</f>
        <v>M</v>
      </c>
      <c r="E27" t="s">
        <v>84</v>
      </c>
      <c r="F27" t="s">
        <v>18</v>
      </c>
      <c r="G27" s="4" t="s">
        <v>85</v>
      </c>
      <c r="H27" t="str">
        <f>"+100"</f>
        <v>+100</v>
      </c>
      <c r="I27" t="str">
        <f>"0087097"</f>
        <v>0087097</v>
      </c>
      <c r="J27" t="str">
        <f>"Yes"</f>
        <v>Yes</v>
      </c>
      <c r="K27" t="str">
        <f>"Quebec"</f>
        <v>Quebec</v>
      </c>
      <c r="M27" t="s">
        <v>588</v>
      </c>
      <c r="N27" t="s">
        <v>86</v>
      </c>
    </row>
    <row r="28" spans="1:14" x14ac:dyDescent="0.25">
      <c r="A28" t="s">
        <v>589</v>
      </c>
      <c r="B28" t="s">
        <v>590</v>
      </c>
      <c r="C28" t="s">
        <v>591</v>
      </c>
      <c r="D28" t="s">
        <v>44</v>
      </c>
      <c r="E28" t="s">
        <v>32</v>
      </c>
      <c r="F28" t="s">
        <v>37</v>
      </c>
      <c r="G28" t="s">
        <v>151</v>
      </c>
      <c r="H28" t="s">
        <v>592</v>
      </c>
      <c r="I28" t="s">
        <v>593</v>
      </c>
      <c r="J28" t="s">
        <v>46</v>
      </c>
      <c r="K28" t="s">
        <v>47</v>
      </c>
      <c r="M28" t="s">
        <v>110</v>
      </c>
      <c r="N28" t="s">
        <v>392</v>
      </c>
    </row>
    <row r="29" spans="1:14" x14ac:dyDescent="0.25">
      <c r="A29" t="s">
        <v>594</v>
      </c>
      <c r="B29" t="s">
        <v>595</v>
      </c>
      <c r="C29" t="s">
        <v>28</v>
      </c>
      <c r="D29" t="s">
        <v>52</v>
      </c>
      <c r="E29" t="s">
        <v>32</v>
      </c>
      <c r="F29" t="s">
        <v>90</v>
      </c>
      <c r="G29" t="s">
        <v>151</v>
      </c>
      <c r="H29" t="s">
        <v>596</v>
      </c>
      <c r="I29" t="s">
        <v>597</v>
      </c>
      <c r="J29" t="s">
        <v>46</v>
      </c>
      <c r="K29" t="s">
        <v>47</v>
      </c>
      <c r="M29" t="s">
        <v>19</v>
      </c>
      <c r="N29" t="s">
        <v>397</v>
      </c>
    </row>
    <row r="30" spans="1:14" x14ac:dyDescent="0.25">
      <c r="A30" t="s">
        <v>598</v>
      </c>
      <c r="B30" t="s">
        <v>599</v>
      </c>
      <c r="C30" t="s">
        <v>532</v>
      </c>
      <c r="D30" t="s">
        <v>52</v>
      </c>
      <c r="E30" t="s">
        <v>27</v>
      </c>
      <c r="F30" t="s">
        <v>15</v>
      </c>
      <c r="G30" t="s">
        <v>25</v>
      </c>
      <c r="H30" t="s">
        <v>600</v>
      </c>
      <c r="I30" t="s">
        <v>601</v>
      </c>
      <c r="J30" t="s">
        <v>46</v>
      </c>
      <c r="K30" t="s">
        <v>47</v>
      </c>
      <c r="M30" t="s">
        <v>19</v>
      </c>
      <c r="N30" t="s">
        <v>411</v>
      </c>
    </row>
    <row r="31" spans="1:14" x14ac:dyDescent="0.25">
      <c r="A31" t="str">
        <f>"Olivier"</f>
        <v>Olivier</v>
      </c>
      <c r="B31" t="str">
        <f>"Truchon"</f>
        <v>Truchon</v>
      </c>
      <c r="C31" t="str">
        <f>"CMR Saint-Jean"</f>
        <v>CMR Saint-Jean</v>
      </c>
      <c r="D31" t="str">
        <f>"M"</f>
        <v>M</v>
      </c>
      <c r="E31" t="s">
        <v>29</v>
      </c>
      <c r="F31" t="s">
        <v>64</v>
      </c>
      <c r="G31" t="str">
        <f>"U21/Senior Mudansha"</f>
        <v>U21/Senior Mudansha</v>
      </c>
      <c r="H31" t="str">
        <f>"-90"</f>
        <v>-90</v>
      </c>
      <c r="I31" t="str">
        <f>"0216348"</f>
        <v>0216348</v>
      </c>
      <c r="J31" t="str">
        <f>"Yes"</f>
        <v>Yes</v>
      </c>
      <c r="K31" t="str">
        <f>"Quebec"</f>
        <v>Quebec</v>
      </c>
      <c r="M31" t="s">
        <v>19</v>
      </c>
      <c r="N31" t="s">
        <v>512</v>
      </c>
    </row>
    <row r="32" spans="1:14" x14ac:dyDescent="0.25">
      <c r="A32" t="s">
        <v>138</v>
      </c>
      <c r="B32" t="s">
        <v>139</v>
      </c>
      <c r="C32" t="s">
        <v>140</v>
      </c>
      <c r="D32" t="s">
        <v>44</v>
      </c>
      <c r="E32" t="s">
        <v>24</v>
      </c>
      <c r="F32" t="s">
        <v>18</v>
      </c>
      <c r="G32" t="s">
        <v>25</v>
      </c>
      <c r="H32">
        <v>-40</v>
      </c>
      <c r="I32" t="s">
        <v>141</v>
      </c>
      <c r="J32" t="s">
        <v>46</v>
      </c>
      <c r="K32" t="s">
        <v>47</v>
      </c>
      <c r="M32" t="s">
        <v>168</v>
      </c>
      <c r="N32" t="s">
        <v>143</v>
      </c>
    </row>
    <row r="33" spans="1:14" x14ac:dyDescent="0.25">
      <c r="A33" t="s">
        <v>602</v>
      </c>
      <c r="B33" t="s">
        <v>603</v>
      </c>
      <c r="C33" t="s">
        <v>258</v>
      </c>
      <c r="D33" t="s">
        <v>52</v>
      </c>
      <c r="E33" t="s">
        <v>306</v>
      </c>
      <c r="F33" t="s">
        <v>37</v>
      </c>
      <c r="G33" s="3" t="s">
        <v>196</v>
      </c>
      <c r="H33" t="s">
        <v>533</v>
      </c>
      <c r="I33" t="s">
        <v>604</v>
      </c>
      <c r="J33" t="s">
        <v>46</v>
      </c>
      <c r="K33" t="s">
        <v>47</v>
      </c>
      <c r="M33" t="s">
        <v>19</v>
      </c>
      <c r="N33" t="s">
        <v>605</v>
      </c>
    </row>
    <row r="34" spans="1:14" x14ac:dyDescent="0.25">
      <c r="A34" t="s">
        <v>556</v>
      </c>
      <c r="B34" t="s">
        <v>606</v>
      </c>
      <c r="C34" t="s">
        <v>268</v>
      </c>
      <c r="D34" t="s">
        <v>44</v>
      </c>
      <c r="E34" t="s">
        <v>14</v>
      </c>
      <c r="F34" t="s">
        <v>39</v>
      </c>
      <c r="G34" t="s">
        <v>95</v>
      </c>
      <c r="H34" t="s">
        <v>592</v>
      </c>
      <c r="I34" t="s">
        <v>607</v>
      </c>
      <c r="J34" t="s">
        <v>46</v>
      </c>
      <c r="K34" t="s">
        <v>47</v>
      </c>
      <c r="M34" t="s">
        <v>110</v>
      </c>
      <c r="N34" t="s">
        <v>515</v>
      </c>
    </row>
    <row r="35" spans="1:14" x14ac:dyDescent="0.25">
      <c r="A35" t="s">
        <v>608</v>
      </c>
      <c r="B35" t="s">
        <v>609</v>
      </c>
      <c r="C35" t="s">
        <v>538</v>
      </c>
      <c r="D35" t="s">
        <v>52</v>
      </c>
      <c r="E35" t="s">
        <v>109</v>
      </c>
      <c r="F35" t="s">
        <v>37</v>
      </c>
      <c r="G35" t="s">
        <v>196</v>
      </c>
      <c r="H35" t="s">
        <v>596</v>
      </c>
      <c r="I35" t="s">
        <v>610</v>
      </c>
      <c r="J35" t="s">
        <v>46</v>
      </c>
      <c r="K35" t="s">
        <v>47</v>
      </c>
      <c r="M35" t="s">
        <v>611</v>
      </c>
      <c r="N35" t="s">
        <v>282</v>
      </c>
    </row>
    <row r="36" spans="1:14" x14ac:dyDescent="0.25">
      <c r="A36" t="s">
        <v>612</v>
      </c>
      <c r="B36" t="s">
        <v>613</v>
      </c>
      <c r="C36" t="s">
        <v>124</v>
      </c>
      <c r="D36" t="s">
        <v>52</v>
      </c>
      <c r="E36" t="s">
        <v>32</v>
      </c>
      <c r="F36" t="s">
        <v>90</v>
      </c>
      <c r="G36" t="s">
        <v>151</v>
      </c>
      <c r="H36" t="s">
        <v>614</v>
      </c>
      <c r="I36" t="s">
        <v>615</v>
      </c>
      <c r="J36" t="s">
        <v>46</v>
      </c>
      <c r="K36" t="s">
        <v>47</v>
      </c>
      <c r="M36" t="s">
        <v>19</v>
      </c>
      <c r="N36" t="s">
        <v>518</v>
      </c>
    </row>
    <row r="37" spans="1:14" x14ac:dyDescent="0.25">
      <c r="H37"/>
    </row>
    <row r="38" spans="1:14" x14ac:dyDescent="0.25">
      <c r="H38"/>
    </row>
    <row r="39" spans="1:14" x14ac:dyDescent="0.25">
      <c r="H39"/>
    </row>
    <row r="40" spans="1:14" ht="26.25" x14ac:dyDescent="0.4">
      <c r="A40" s="8" t="s">
        <v>616</v>
      </c>
      <c r="H40"/>
    </row>
    <row r="41" spans="1:14" x14ac:dyDescent="0.25">
      <c r="H41"/>
    </row>
    <row r="42" spans="1:14" x14ac:dyDescent="0.25">
      <c r="H42"/>
    </row>
    <row r="43" spans="1:14" x14ac:dyDescent="0.25">
      <c r="H43"/>
    </row>
    <row r="44" spans="1:14" ht="26.25" x14ac:dyDescent="0.4">
      <c r="A44" s="8" t="s">
        <v>617</v>
      </c>
      <c r="H44"/>
    </row>
    <row r="45" spans="1:14" x14ac:dyDescent="0.25">
      <c r="H45"/>
    </row>
    <row r="46" spans="1:14" x14ac:dyDescent="0.25">
      <c r="A46" t="str">
        <f>"William"</f>
        <v>William</v>
      </c>
      <c r="B46" t="str">
        <f>"Vaillancourt"</f>
        <v>Vaillancourt</v>
      </c>
      <c r="C46" t="str">
        <f t="shared" ref="C46" si="0">"Fermont"</f>
        <v>Fermont</v>
      </c>
      <c r="D46" t="str">
        <f t="shared" ref="D46:D47" si="1">"M"</f>
        <v>M</v>
      </c>
      <c r="E46" t="s">
        <v>32</v>
      </c>
      <c r="F46" t="s">
        <v>33</v>
      </c>
      <c r="G46" t="str">
        <f>"U16"</f>
        <v>U16</v>
      </c>
      <c r="H46" t="str">
        <f>"-46"</f>
        <v>-46</v>
      </c>
      <c r="I46" t="str">
        <f>"0222788"</f>
        <v>0222788</v>
      </c>
      <c r="J46" t="str">
        <f t="shared" ref="J46:J47" si="2">"Yes"</f>
        <v>Yes</v>
      </c>
      <c r="K46" t="str">
        <f t="shared" ref="K46:K47" si="3">"Quebec"</f>
        <v>Quebec</v>
      </c>
    </row>
    <row r="47" spans="1:14" x14ac:dyDescent="0.25">
      <c r="A47" t="str">
        <f>"Philippe"</f>
        <v>Philippe</v>
      </c>
      <c r="B47" t="str">
        <f>"Richer"</f>
        <v>Richer</v>
      </c>
      <c r="C47" t="str">
        <f t="shared" ref="C47" si="4">"Institut Judo Chicoutimi"</f>
        <v>Institut Judo Chicoutimi</v>
      </c>
      <c r="D47" t="str">
        <f t="shared" si="1"/>
        <v>M</v>
      </c>
      <c r="E47" t="s">
        <v>27</v>
      </c>
      <c r="F47" t="s">
        <v>39</v>
      </c>
      <c r="G47" t="str">
        <f>"U18"</f>
        <v>U18</v>
      </c>
      <c r="H47" t="str">
        <f>"-66"</f>
        <v>-66</v>
      </c>
      <c r="I47" t="str">
        <f>"0156412"</f>
        <v>0156412</v>
      </c>
      <c r="J47" t="str">
        <f t="shared" si="2"/>
        <v>Yes</v>
      </c>
      <c r="K47" t="str">
        <f t="shared" si="3"/>
        <v>Quebec</v>
      </c>
    </row>
    <row r="48" spans="1:14" x14ac:dyDescent="0.25">
      <c r="A48" t="str">
        <f>"Charles"</f>
        <v>Charles</v>
      </c>
      <c r="B48" t="str">
        <f>"Forest"</f>
        <v>Forest</v>
      </c>
      <c r="C48" t="str">
        <f>"Rikidokan"</f>
        <v>Rikidokan</v>
      </c>
      <c r="D48" t="str">
        <f>"M"</f>
        <v>M</v>
      </c>
      <c r="E48" t="s">
        <v>21</v>
      </c>
      <c r="F48" t="s">
        <v>90</v>
      </c>
      <c r="G48" t="str">
        <f>"U12"</f>
        <v>U12</v>
      </c>
      <c r="H48" t="str">
        <f>"-33"</f>
        <v>-33</v>
      </c>
      <c r="I48" t="str">
        <f>"0205810"</f>
        <v>0205810</v>
      </c>
      <c r="J48" t="str">
        <f>"Yes"</f>
        <v>Yes</v>
      </c>
      <c r="K48" t="str">
        <f>"Quebec"</f>
        <v>Quebec</v>
      </c>
      <c r="N48" t="s">
        <v>23</v>
      </c>
    </row>
    <row r="49" spans="1:14" x14ac:dyDescent="0.25">
      <c r="A49" t="str">
        <f>"Charles"</f>
        <v>Charles</v>
      </c>
      <c r="B49" t="str">
        <f>"Perusse"</f>
        <v>Perusse</v>
      </c>
      <c r="C49" t="s">
        <v>618</v>
      </c>
      <c r="D49" t="str">
        <f>"M"</f>
        <v>M</v>
      </c>
      <c r="E49" t="s">
        <v>38</v>
      </c>
      <c r="F49" t="s">
        <v>15</v>
      </c>
      <c r="G49" t="str">
        <f>"U14"</f>
        <v>U14</v>
      </c>
      <c r="H49" t="str">
        <f>"-46"</f>
        <v>-46</v>
      </c>
      <c r="I49" t="str">
        <f>"0412531"</f>
        <v>0412531</v>
      </c>
      <c r="J49" t="str">
        <f>"Yes"</f>
        <v>Yes</v>
      </c>
      <c r="K49" t="str">
        <f>"Quebec"</f>
        <v>Quebec</v>
      </c>
      <c r="N49" t="s">
        <v>394</v>
      </c>
    </row>
    <row r="50" spans="1:14" x14ac:dyDescent="0.25">
      <c r="A50" t="str">
        <f>"Tristan"</f>
        <v>Tristan</v>
      </c>
      <c r="B50" t="str">
        <f>"Perusse"</f>
        <v>Perusse</v>
      </c>
      <c r="C50" t="s">
        <v>618</v>
      </c>
      <c r="D50" t="str">
        <f t="shared" ref="D50" si="5">"M"</f>
        <v>M</v>
      </c>
      <c r="E50" t="s">
        <v>14</v>
      </c>
      <c r="F50" t="s">
        <v>15</v>
      </c>
      <c r="G50" t="str">
        <f t="shared" ref="G50" si="6">"U14"</f>
        <v>U14</v>
      </c>
      <c r="H50" t="str">
        <f t="shared" ref="H50" si="7">"-46"</f>
        <v>-46</v>
      </c>
      <c r="I50" t="str">
        <f>"0412532"</f>
        <v>0412532</v>
      </c>
      <c r="J50" t="str">
        <f t="shared" ref="J50" si="8">"Yes"</f>
        <v>Yes</v>
      </c>
      <c r="K50" t="str">
        <f t="shared" ref="K50" si="9">"Quebec"</f>
        <v>Quebec</v>
      </c>
      <c r="N50" t="s">
        <v>394</v>
      </c>
    </row>
    <row r="51" spans="1:14" x14ac:dyDescent="0.25">
      <c r="A51" t="str">
        <f>"Gary"</f>
        <v>Gary</v>
      </c>
      <c r="B51" t="str">
        <f>"Macmullen"</f>
        <v>Macmullen</v>
      </c>
      <c r="C51" t="str">
        <f>"Tora Kai"</f>
        <v>Tora Kai</v>
      </c>
      <c r="D51" t="str">
        <f>"M"</f>
        <v>M</v>
      </c>
      <c r="E51" t="s">
        <v>109</v>
      </c>
      <c r="F51" t="s">
        <v>30</v>
      </c>
      <c r="G51" t="s">
        <v>85</v>
      </c>
      <c r="H51" t="str">
        <f>"-60"</f>
        <v>-60</v>
      </c>
      <c r="I51" t="str">
        <f>"0135186"</f>
        <v>0135186</v>
      </c>
      <c r="J51" t="str">
        <f>"Yes"</f>
        <v>Yes</v>
      </c>
      <c r="K51" t="str">
        <f>"Kansas"</f>
        <v>Kansas</v>
      </c>
      <c r="M51" t="str">
        <f>"2 divisions : U21/Senior B + Senior A"</f>
        <v>2 divisions : U21/Senior B + Senior A</v>
      </c>
      <c r="N51" t="s">
        <v>158</v>
      </c>
    </row>
    <row r="52" spans="1:14" x14ac:dyDescent="0.25">
      <c r="A52" t="str">
        <f>"Gary"</f>
        <v>Gary</v>
      </c>
      <c r="B52" t="str">
        <f>"Macmullen"</f>
        <v>Macmullen</v>
      </c>
      <c r="C52" t="str">
        <f>"Tora Kai"</f>
        <v>Tora Kai</v>
      </c>
      <c r="D52" t="str">
        <f t="shared" ref="D52" si="10">"M"</f>
        <v>M</v>
      </c>
      <c r="E52" t="s">
        <v>109</v>
      </c>
      <c r="F52" t="s">
        <v>30</v>
      </c>
      <c r="G52" t="s">
        <v>72</v>
      </c>
      <c r="H52" t="str">
        <f t="shared" ref="H52" si="11">"-60"</f>
        <v>-60</v>
      </c>
      <c r="I52" t="str">
        <f>"0135186"</f>
        <v>0135186</v>
      </c>
      <c r="J52" t="str">
        <f t="shared" ref="J52" si="12">"Yes"</f>
        <v>Yes</v>
      </c>
      <c r="K52" t="str">
        <f>"Kansas"</f>
        <v>Kansas</v>
      </c>
      <c r="M52" t="str">
        <f>"2 divisions : U21/Senior B + Senior A"</f>
        <v>2 divisions : U21/Senior B + Senior A</v>
      </c>
      <c r="N52" t="s">
        <v>159</v>
      </c>
    </row>
    <row r="53" spans="1:14" x14ac:dyDescent="0.25">
      <c r="A53" t="s">
        <v>619</v>
      </c>
      <c r="B53" t="s">
        <v>620</v>
      </c>
      <c r="C53" t="s">
        <v>59</v>
      </c>
      <c r="D53" t="s">
        <v>52</v>
      </c>
      <c r="E53" t="s">
        <v>60</v>
      </c>
      <c r="F53" t="s">
        <v>22</v>
      </c>
      <c r="G53" t="s">
        <v>61</v>
      </c>
      <c r="H53">
        <v>-39</v>
      </c>
      <c r="I53" t="s">
        <v>621</v>
      </c>
      <c r="J53" t="s">
        <v>46</v>
      </c>
      <c r="K53" t="s">
        <v>47</v>
      </c>
      <c r="N53" t="s">
        <v>23</v>
      </c>
    </row>
    <row r="54" spans="1:14" x14ac:dyDescent="0.25">
      <c r="A54" t="str">
        <f>"Rose"</f>
        <v>Rose</v>
      </c>
      <c r="B54" t="str">
        <f>"Bolte"</f>
        <v>Bolte</v>
      </c>
      <c r="C54" t="str">
        <f>"Varennes"</f>
        <v>Varennes</v>
      </c>
      <c r="D54" t="str">
        <f t="shared" ref="D54" si="13">"F"</f>
        <v>F</v>
      </c>
      <c r="E54" t="s">
        <v>24</v>
      </c>
      <c r="F54" t="s">
        <v>39</v>
      </c>
      <c r="G54" t="str">
        <f t="shared" ref="G54" si="14">"U16"</f>
        <v>U16</v>
      </c>
      <c r="H54" t="str">
        <f t="shared" ref="H54" si="15">"-57"</f>
        <v>-57</v>
      </c>
      <c r="I54" t="str">
        <f>"0196930"</f>
        <v>0196930</v>
      </c>
      <c r="J54" t="str">
        <f t="shared" ref="J54" si="16">"Yes"</f>
        <v>Yes</v>
      </c>
      <c r="K54" t="str">
        <f t="shared" ref="K54" si="17">"Quebec"</f>
        <v>Quebec</v>
      </c>
      <c r="N54" t="s">
        <v>339</v>
      </c>
    </row>
    <row r="55" spans="1:14" x14ac:dyDescent="0.25">
      <c r="A55" t="str">
        <f>"Jérôme"</f>
        <v>Jérôme</v>
      </c>
      <c r="B55" t="str">
        <f>"Bolte"</f>
        <v>Bolte</v>
      </c>
      <c r="C55" t="str">
        <f>"Varennes"</f>
        <v>Varennes</v>
      </c>
      <c r="D55" t="str">
        <f>"M"</f>
        <v>M</v>
      </c>
      <c r="E55" t="s">
        <v>71</v>
      </c>
      <c r="F55" t="s">
        <v>18</v>
      </c>
      <c r="G55" t="str">
        <f>"U21/Senior B"</f>
        <v>U21/Senior B</v>
      </c>
      <c r="H55" t="str">
        <f>"-73"</f>
        <v>-73</v>
      </c>
      <c r="I55" t="str">
        <f>"0164197"</f>
        <v>0164197</v>
      </c>
      <c r="J55" t="str">
        <f>"Yes"</f>
        <v>Yes</v>
      </c>
      <c r="K55" t="str">
        <f>"Quebec"</f>
        <v>Quebec</v>
      </c>
      <c r="N55" t="s">
        <v>349</v>
      </c>
    </row>
    <row r="56" spans="1:14" x14ac:dyDescent="0.25">
      <c r="A56" t="str">
        <f>"Bogdan-Marian"</f>
        <v>Bogdan-Marian</v>
      </c>
      <c r="B56" t="str">
        <f>"Cujba"</f>
        <v>Cujba</v>
      </c>
      <c r="C56" t="str">
        <f>"Verdun"</f>
        <v>Verdun</v>
      </c>
      <c r="D56" t="str">
        <f t="shared" ref="D56:D57" si="18">"M"</f>
        <v>M</v>
      </c>
      <c r="E56" t="s">
        <v>60</v>
      </c>
      <c r="F56" t="s">
        <v>90</v>
      </c>
      <c r="G56" t="str">
        <f t="shared" ref="G56" si="19">"U12"</f>
        <v>U12</v>
      </c>
      <c r="H56" t="str">
        <f>"-42"</f>
        <v>-42</v>
      </c>
      <c r="I56" t="str">
        <f>"0221130"</f>
        <v>0221130</v>
      </c>
      <c r="J56" t="str">
        <f t="shared" ref="J56:J57" si="20">"Yes"</f>
        <v>Yes</v>
      </c>
      <c r="K56" t="str">
        <f t="shared" ref="K56:K57" si="21">"Quebec"</f>
        <v>Quebec</v>
      </c>
      <c r="M56" t="str">
        <f>""</f>
        <v/>
      </c>
      <c r="N56" t="s">
        <v>23</v>
      </c>
    </row>
    <row r="57" spans="1:14" x14ac:dyDescent="0.25">
      <c r="A57" s="6" t="str">
        <f>"Édouard"</f>
        <v>Édouard</v>
      </c>
      <c r="B57" t="str">
        <f>"Paiement"</f>
        <v>Paiement</v>
      </c>
      <c r="C57" t="str">
        <f>"Boucherville"</f>
        <v>Boucherville</v>
      </c>
      <c r="D57" t="str">
        <f t="shared" si="18"/>
        <v>M</v>
      </c>
      <c r="E57" t="s">
        <v>27</v>
      </c>
      <c r="F57" t="s">
        <v>18</v>
      </c>
      <c r="G57" t="str">
        <f>"U18"</f>
        <v>U18</v>
      </c>
      <c r="H57" t="str">
        <f>"-81"</f>
        <v>-81</v>
      </c>
      <c r="I57" t="str">
        <f>"0153415"</f>
        <v>0153415</v>
      </c>
      <c r="J57" t="str">
        <f t="shared" si="20"/>
        <v>Yes</v>
      </c>
      <c r="K57" t="str">
        <f t="shared" si="21"/>
        <v>Quebec</v>
      </c>
      <c r="N57" t="s">
        <v>485</v>
      </c>
    </row>
    <row r="58" spans="1:14" x14ac:dyDescent="0.25">
      <c r="H58"/>
    </row>
    <row r="59" spans="1:14" x14ac:dyDescent="0.25">
      <c r="H59"/>
    </row>
    <row r="60" spans="1:14" x14ac:dyDescent="0.25">
      <c r="H60"/>
    </row>
    <row r="61" spans="1:14" x14ac:dyDescent="0.25">
      <c r="H61"/>
    </row>
    <row r="62" spans="1:14" x14ac:dyDescent="0.25">
      <c r="H62"/>
    </row>
    <row r="63" spans="1:14" x14ac:dyDescent="0.25">
      <c r="H63"/>
    </row>
    <row r="64" spans="1:14" x14ac:dyDescent="0.25">
      <c r="H64"/>
    </row>
    <row r="65" spans="8:8" x14ac:dyDescent="0.25">
      <c r="H65"/>
    </row>
    <row r="66" spans="8:8" x14ac:dyDescent="0.25">
      <c r="H66"/>
    </row>
    <row r="67" spans="8:8" x14ac:dyDescent="0.25">
      <c r="H67"/>
    </row>
    <row r="68" spans="8:8" x14ac:dyDescent="0.25">
      <c r="H68"/>
    </row>
    <row r="69" spans="8:8" x14ac:dyDescent="0.25">
      <c r="H69"/>
    </row>
    <row r="70" spans="8:8" x14ac:dyDescent="0.25">
      <c r="H70"/>
    </row>
    <row r="71" spans="8:8" x14ac:dyDescent="0.25">
      <c r="H71"/>
    </row>
    <row r="72" spans="8:8" x14ac:dyDescent="0.25">
      <c r="H72"/>
    </row>
    <row r="74" spans="8:8" x14ac:dyDescent="0.25">
      <c r="H74"/>
    </row>
    <row r="75" spans="8:8" x14ac:dyDescent="0.25">
      <c r="H75"/>
    </row>
    <row r="76" spans="8:8" x14ac:dyDescent="0.25">
      <c r="H76"/>
    </row>
    <row r="77" spans="8:8" x14ac:dyDescent="0.25">
      <c r="H77"/>
    </row>
    <row r="78" spans="8:8" x14ac:dyDescent="0.25">
      <c r="H78"/>
    </row>
    <row r="79" spans="8:8" x14ac:dyDescent="0.25">
      <c r="H79"/>
    </row>
    <row r="81" spans="8:8" x14ac:dyDescent="0.25">
      <c r="H81"/>
    </row>
    <row r="82" spans="8:8" x14ac:dyDescent="0.25">
      <c r="H82"/>
    </row>
    <row r="83" spans="8:8" x14ac:dyDescent="0.25">
      <c r="H83"/>
    </row>
    <row r="84" spans="8:8" x14ac:dyDescent="0.25">
      <c r="H84"/>
    </row>
    <row r="85" spans="8:8" x14ac:dyDescent="0.25">
      <c r="H85"/>
    </row>
    <row r="86" spans="8:8" x14ac:dyDescent="0.25">
      <c r="H86"/>
    </row>
    <row r="87" spans="8:8" x14ac:dyDescent="0.25">
      <c r="H87"/>
    </row>
    <row r="88" spans="8:8" x14ac:dyDescent="0.25">
      <c r="H88"/>
    </row>
    <row r="89" spans="8:8" x14ac:dyDescent="0.25">
      <c r="H89"/>
    </row>
    <row r="90" spans="8:8" x14ac:dyDescent="0.25">
      <c r="H90"/>
    </row>
    <row r="92" spans="8:8" x14ac:dyDescent="0.25">
      <c r="H92"/>
    </row>
    <row r="93" spans="8:8" x14ac:dyDescent="0.25">
      <c r="H93"/>
    </row>
    <row r="94" spans="8:8" x14ac:dyDescent="0.25">
      <c r="H94"/>
    </row>
    <row r="95" spans="8:8" x14ac:dyDescent="0.25">
      <c r="H95"/>
    </row>
    <row r="96" spans="8:8" x14ac:dyDescent="0.25">
      <c r="H96"/>
    </row>
    <row r="97" spans="8:8" x14ac:dyDescent="0.25">
      <c r="H97"/>
    </row>
    <row r="98" spans="8:8" x14ac:dyDescent="0.25">
      <c r="H98"/>
    </row>
    <row r="99" spans="8:8" x14ac:dyDescent="0.25">
      <c r="H99"/>
    </row>
    <row r="100" spans="8:8" x14ac:dyDescent="0.25">
      <c r="H100"/>
    </row>
    <row r="101" spans="8:8" x14ac:dyDescent="0.25">
      <c r="H101"/>
    </row>
    <row r="102" spans="8:8" x14ac:dyDescent="0.25">
      <c r="H102"/>
    </row>
    <row r="103" spans="8:8" x14ac:dyDescent="0.25">
      <c r="H103"/>
    </row>
    <row r="104" spans="8:8" x14ac:dyDescent="0.25">
      <c r="H104"/>
    </row>
    <row r="105" spans="8:8" x14ac:dyDescent="0.25">
      <c r="H105"/>
    </row>
    <row r="106" spans="8:8" x14ac:dyDescent="0.25">
      <c r="H106"/>
    </row>
    <row r="107" spans="8:8" x14ac:dyDescent="0.25">
      <c r="H107"/>
    </row>
    <row r="108" spans="8:8" x14ac:dyDescent="0.25">
      <c r="H108"/>
    </row>
    <row r="109" spans="8:8" x14ac:dyDescent="0.25">
      <c r="H109"/>
    </row>
    <row r="110" spans="8:8" x14ac:dyDescent="0.25">
      <c r="H110"/>
    </row>
    <row r="111" spans="8:8" x14ac:dyDescent="0.25">
      <c r="H111"/>
    </row>
    <row r="112" spans="8:8" x14ac:dyDescent="0.25">
      <c r="H112"/>
    </row>
    <row r="113" spans="8:8" x14ac:dyDescent="0.25">
      <c r="H113"/>
    </row>
    <row r="114" spans="8:8" x14ac:dyDescent="0.25">
      <c r="H114"/>
    </row>
    <row r="115" spans="8:8" x14ac:dyDescent="0.25">
      <c r="H115"/>
    </row>
    <row r="116" spans="8:8" x14ac:dyDescent="0.25">
      <c r="H116"/>
    </row>
    <row r="119" spans="8:8" x14ac:dyDescent="0.25">
      <c r="H119"/>
    </row>
    <row r="120" spans="8:8" x14ac:dyDescent="0.25">
      <c r="H120"/>
    </row>
    <row r="121" spans="8:8" x14ac:dyDescent="0.25">
      <c r="H121"/>
    </row>
    <row r="122" spans="8:8" x14ac:dyDescent="0.25">
      <c r="H122"/>
    </row>
    <row r="123" spans="8:8" x14ac:dyDescent="0.25">
      <c r="H123"/>
    </row>
    <row r="124" spans="8:8" x14ac:dyDescent="0.25">
      <c r="H124"/>
    </row>
    <row r="125" spans="8:8" x14ac:dyDescent="0.25">
      <c r="H125"/>
    </row>
    <row r="126" spans="8:8" x14ac:dyDescent="0.25">
      <c r="H126"/>
    </row>
    <row r="127" spans="8:8" x14ac:dyDescent="0.25">
      <c r="H127"/>
    </row>
    <row r="128" spans="8:8" x14ac:dyDescent="0.25">
      <c r="H128"/>
    </row>
    <row r="129" spans="8:8" x14ac:dyDescent="0.25">
      <c r="H129"/>
    </row>
    <row r="130" spans="8:8" x14ac:dyDescent="0.25">
      <c r="H130"/>
    </row>
    <row r="131" spans="8:8" x14ac:dyDescent="0.25">
      <c r="H131"/>
    </row>
    <row r="132" spans="8:8" x14ac:dyDescent="0.25">
      <c r="H132"/>
    </row>
    <row r="133" spans="8:8" x14ac:dyDescent="0.25">
      <c r="H133"/>
    </row>
    <row r="134" spans="8:8" x14ac:dyDescent="0.25">
      <c r="H134"/>
    </row>
    <row r="135" spans="8:8" x14ac:dyDescent="0.25">
      <c r="H135"/>
    </row>
    <row r="136" spans="8:8" x14ac:dyDescent="0.25">
      <c r="H136"/>
    </row>
    <row r="137" spans="8:8" x14ac:dyDescent="0.25">
      <c r="H137"/>
    </row>
    <row r="138" spans="8:8" x14ac:dyDescent="0.25">
      <c r="H138"/>
    </row>
    <row r="139" spans="8:8" x14ac:dyDescent="0.25">
      <c r="H139"/>
    </row>
    <row r="140" spans="8:8" x14ac:dyDescent="0.25">
      <c r="H140"/>
    </row>
    <row r="141" spans="8:8" x14ac:dyDescent="0.25">
      <c r="H141"/>
    </row>
    <row r="142" spans="8:8" x14ac:dyDescent="0.25">
      <c r="H142"/>
    </row>
    <row r="143" spans="8:8" x14ac:dyDescent="0.25">
      <c r="H143"/>
    </row>
    <row r="144" spans="8:8" x14ac:dyDescent="0.25">
      <c r="H144"/>
    </row>
    <row r="145" spans="8:8" x14ac:dyDescent="0.25">
      <c r="H145"/>
    </row>
    <row r="146" spans="8:8" x14ac:dyDescent="0.25">
      <c r="H146"/>
    </row>
    <row r="147" spans="8:8" x14ac:dyDescent="0.25">
      <c r="H147"/>
    </row>
    <row r="148" spans="8:8" x14ac:dyDescent="0.25">
      <c r="H148"/>
    </row>
    <row r="150" spans="8:8" x14ac:dyDescent="0.25">
      <c r="H150"/>
    </row>
    <row r="151" spans="8:8" x14ac:dyDescent="0.25">
      <c r="H151"/>
    </row>
    <row r="152" spans="8:8" x14ac:dyDescent="0.25">
      <c r="H152"/>
    </row>
    <row r="153" spans="8:8" x14ac:dyDescent="0.25">
      <c r="H153"/>
    </row>
    <row r="154" spans="8:8" x14ac:dyDescent="0.25">
      <c r="H154"/>
    </row>
    <row r="155" spans="8:8" x14ac:dyDescent="0.25">
      <c r="H155"/>
    </row>
    <row r="156" spans="8:8" x14ac:dyDescent="0.25">
      <c r="H156"/>
    </row>
    <row r="157" spans="8:8" x14ac:dyDescent="0.25">
      <c r="H157"/>
    </row>
    <row r="158" spans="8:8" x14ac:dyDescent="0.25">
      <c r="H158"/>
    </row>
    <row r="159" spans="8:8" x14ac:dyDescent="0.25">
      <c r="H159"/>
    </row>
    <row r="160" spans="8:8" x14ac:dyDescent="0.25">
      <c r="H160"/>
    </row>
    <row r="161" spans="8:8" x14ac:dyDescent="0.25">
      <c r="H161"/>
    </row>
    <row r="162" spans="8:8" x14ac:dyDescent="0.25">
      <c r="H162"/>
    </row>
    <row r="163" spans="8:8" x14ac:dyDescent="0.25">
      <c r="H163"/>
    </row>
    <row r="164" spans="8:8" x14ac:dyDescent="0.25">
      <c r="H164"/>
    </row>
    <row r="165" spans="8:8" x14ac:dyDescent="0.25">
      <c r="H165"/>
    </row>
    <row r="166" spans="8:8" x14ac:dyDescent="0.25">
      <c r="H166"/>
    </row>
    <row r="167" spans="8:8" x14ac:dyDescent="0.25">
      <c r="H167"/>
    </row>
    <row r="168" spans="8:8" x14ac:dyDescent="0.25">
      <c r="H168"/>
    </row>
    <row r="169" spans="8:8" x14ac:dyDescent="0.25">
      <c r="H169"/>
    </row>
    <row r="170" spans="8:8" x14ac:dyDescent="0.25">
      <c r="H170"/>
    </row>
    <row r="171" spans="8:8" x14ac:dyDescent="0.25">
      <c r="H171"/>
    </row>
    <row r="172" spans="8:8" x14ac:dyDescent="0.25">
      <c r="H172"/>
    </row>
    <row r="173" spans="8:8" x14ac:dyDescent="0.25">
      <c r="H173"/>
    </row>
    <row r="174" spans="8:8" x14ac:dyDescent="0.25">
      <c r="H174"/>
    </row>
    <row r="175" spans="8:8" x14ac:dyDescent="0.25">
      <c r="H175"/>
    </row>
    <row r="176" spans="8:8" x14ac:dyDescent="0.25">
      <c r="H176"/>
    </row>
    <row r="178" spans="8:8" x14ac:dyDescent="0.25">
      <c r="H178"/>
    </row>
    <row r="179" spans="8:8" x14ac:dyDescent="0.25">
      <c r="H179"/>
    </row>
    <row r="180" spans="8:8" x14ac:dyDescent="0.25">
      <c r="H180"/>
    </row>
    <row r="181" spans="8:8" x14ac:dyDescent="0.25">
      <c r="H181"/>
    </row>
    <row r="182" spans="8:8" x14ac:dyDescent="0.25">
      <c r="H182"/>
    </row>
    <row r="183" spans="8:8" x14ac:dyDescent="0.25">
      <c r="H183"/>
    </row>
    <row r="184" spans="8:8" x14ac:dyDescent="0.25">
      <c r="H184"/>
    </row>
    <row r="185" spans="8:8" x14ac:dyDescent="0.25">
      <c r="H185"/>
    </row>
    <row r="186" spans="8:8" x14ac:dyDescent="0.25">
      <c r="H186"/>
    </row>
    <row r="188" spans="8:8" x14ac:dyDescent="0.25">
      <c r="H188"/>
    </row>
    <row r="189" spans="8:8" x14ac:dyDescent="0.25">
      <c r="H189"/>
    </row>
    <row r="190" spans="8:8" x14ac:dyDescent="0.25">
      <c r="H190"/>
    </row>
    <row r="191" spans="8:8" x14ac:dyDescent="0.25">
      <c r="H191"/>
    </row>
    <row r="192" spans="8:8" x14ac:dyDescent="0.25">
      <c r="H192"/>
    </row>
    <row r="193" spans="8:8" x14ac:dyDescent="0.25">
      <c r="H193"/>
    </row>
    <row r="194" spans="8:8" x14ac:dyDescent="0.25">
      <c r="H194"/>
    </row>
    <row r="195" spans="8:8" x14ac:dyDescent="0.25">
      <c r="H195"/>
    </row>
    <row r="196" spans="8:8" x14ac:dyDescent="0.25">
      <c r="H196"/>
    </row>
    <row r="197" spans="8:8" x14ac:dyDescent="0.25">
      <c r="H197"/>
    </row>
    <row r="198" spans="8:8" x14ac:dyDescent="0.25">
      <c r="H198"/>
    </row>
    <row r="199" spans="8:8" x14ac:dyDescent="0.25">
      <c r="H199"/>
    </row>
    <row r="200" spans="8:8" x14ac:dyDescent="0.25">
      <c r="H200"/>
    </row>
    <row r="201" spans="8:8" x14ac:dyDescent="0.25">
      <c r="H201"/>
    </row>
    <row r="202" spans="8:8" x14ac:dyDescent="0.25">
      <c r="H202"/>
    </row>
    <row r="203" spans="8:8" x14ac:dyDescent="0.25">
      <c r="H203"/>
    </row>
    <row r="204" spans="8:8" x14ac:dyDescent="0.25">
      <c r="H204"/>
    </row>
    <row r="205" spans="8:8" x14ac:dyDescent="0.25">
      <c r="H205"/>
    </row>
    <row r="206" spans="8:8" x14ac:dyDescent="0.25">
      <c r="H206"/>
    </row>
    <row r="207" spans="8:8" x14ac:dyDescent="0.25">
      <c r="H207"/>
    </row>
    <row r="208" spans="8:8" x14ac:dyDescent="0.25">
      <c r="H208"/>
    </row>
    <row r="209" spans="8:8" x14ac:dyDescent="0.25">
      <c r="H209"/>
    </row>
    <row r="210" spans="8:8" x14ac:dyDescent="0.25">
      <c r="H210"/>
    </row>
    <row r="211" spans="8:8" x14ac:dyDescent="0.25">
      <c r="H211"/>
    </row>
    <row r="212" spans="8:8" x14ac:dyDescent="0.25">
      <c r="H212"/>
    </row>
    <row r="213" spans="8:8" x14ac:dyDescent="0.25">
      <c r="H213"/>
    </row>
    <row r="214" spans="8:8" x14ac:dyDescent="0.25">
      <c r="H214"/>
    </row>
    <row r="215" spans="8:8" x14ac:dyDescent="0.25">
      <c r="H215"/>
    </row>
    <row r="216" spans="8:8" x14ac:dyDescent="0.25">
      <c r="H216"/>
    </row>
    <row r="217" spans="8:8" x14ac:dyDescent="0.25">
      <c r="H217"/>
    </row>
    <row r="218" spans="8:8" x14ac:dyDescent="0.25">
      <c r="H218"/>
    </row>
    <row r="219" spans="8:8" x14ac:dyDescent="0.25">
      <c r="H219"/>
    </row>
    <row r="220" spans="8:8" x14ac:dyDescent="0.25">
      <c r="H220"/>
    </row>
    <row r="221" spans="8:8" x14ac:dyDescent="0.25">
      <c r="H221"/>
    </row>
    <row r="222" spans="8:8" x14ac:dyDescent="0.25">
      <c r="H222"/>
    </row>
    <row r="223" spans="8:8" x14ac:dyDescent="0.25">
      <c r="H223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  <row r="233" spans="8:8" x14ac:dyDescent="0.25">
      <c r="H233"/>
    </row>
    <row r="234" spans="8:8" x14ac:dyDescent="0.25">
      <c r="H234"/>
    </row>
    <row r="235" spans="8:8" x14ac:dyDescent="0.25">
      <c r="H235"/>
    </row>
    <row r="236" spans="8:8" x14ac:dyDescent="0.25">
      <c r="H236"/>
    </row>
    <row r="237" spans="8:8" x14ac:dyDescent="0.25">
      <c r="H237"/>
    </row>
    <row r="238" spans="8:8" x14ac:dyDescent="0.25">
      <c r="H238"/>
    </row>
    <row r="239" spans="8:8" x14ac:dyDescent="0.25">
      <c r="H239"/>
    </row>
    <row r="240" spans="8:8" x14ac:dyDescent="0.25">
      <c r="H240"/>
    </row>
    <row r="241" spans="8:8" x14ac:dyDescent="0.25">
      <c r="H241"/>
    </row>
    <row r="242" spans="8:8" x14ac:dyDescent="0.25">
      <c r="H242"/>
    </row>
    <row r="243" spans="8:8" x14ac:dyDescent="0.25">
      <c r="H243"/>
    </row>
    <row r="244" spans="8:8" x14ac:dyDescent="0.25">
      <c r="H244"/>
    </row>
    <row r="245" spans="8:8" x14ac:dyDescent="0.25">
      <c r="H245"/>
    </row>
    <row r="246" spans="8:8" x14ac:dyDescent="0.25">
      <c r="H246"/>
    </row>
    <row r="247" spans="8:8" x14ac:dyDescent="0.25">
      <c r="H247"/>
    </row>
    <row r="248" spans="8:8" x14ac:dyDescent="0.25">
      <c r="H248"/>
    </row>
    <row r="249" spans="8:8" x14ac:dyDescent="0.25">
      <c r="H249"/>
    </row>
    <row r="250" spans="8:8" x14ac:dyDescent="0.25">
      <c r="H250"/>
    </row>
    <row r="251" spans="8:8" x14ac:dyDescent="0.25">
      <c r="H251"/>
    </row>
    <row r="252" spans="8:8" x14ac:dyDescent="0.25">
      <c r="H252"/>
    </row>
    <row r="253" spans="8:8" x14ac:dyDescent="0.25">
      <c r="H253"/>
    </row>
    <row r="254" spans="8:8" x14ac:dyDescent="0.25">
      <c r="H254"/>
    </row>
    <row r="255" spans="8:8" x14ac:dyDescent="0.25">
      <c r="H255"/>
    </row>
    <row r="256" spans="8:8" x14ac:dyDescent="0.25">
      <c r="H256"/>
    </row>
    <row r="257" spans="8:8" x14ac:dyDescent="0.25">
      <c r="H257"/>
    </row>
    <row r="258" spans="8:8" x14ac:dyDescent="0.25">
      <c r="H258"/>
    </row>
    <row r="259" spans="8:8" x14ac:dyDescent="0.25">
      <c r="H259"/>
    </row>
    <row r="260" spans="8:8" x14ac:dyDescent="0.25">
      <c r="H260"/>
    </row>
    <row r="261" spans="8:8" x14ac:dyDescent="0.25">
      <c r="H261"/>
    </row>
    <row r="262" spans="8:8" x14ac:dyDescent="0.25">
      <c r="H262"/>
    </row>
    <row r="263" spans="8:8" x14ac:dyDescent="0.25">
      <c r="H263"/>
    </row>
    <row r="264" spans="8:8" x14ac:dyDescent="0.25">
      <c r="H264"/>
    </row>
    <row r="265" spans="8:8" x14ac:dyDescent="0.25">
      <c r="H265"/>
    </row>
    <row r="266" spans="8:8" x14ac:dyDescent="0.25">
      <c r="H266"/>
    </row>
    <row r="267" spans="8:8" x14ac:dyDescent="0.25">
      <c r="H267"/>
    </row>
    <row r="268" spans="8:8" x14ac:dyDescent="0.25">
      <c r="H268"/>
    </row>
    <row r="269" spans="8:8" x14ac:dyDescent="0.25">
      <c r="H269"/>
    </row>
    <row r="270" spans="8:8" x14ac:dyDescent="0.25">
      <c r="H270"/>
    </row>
    <row r="272" spans="8:8" x14ac:dyDescent="0.25">
      <c r="H272"/>
    </row>
    <row r="273" spans="8:8" x14ac:dyDescent="0.25">
      <c r="H273"/>
    </row>
    <row r="274" spans="8:8" x14ac:dyDescent="0.25">
      <c r="H274"/>
    </row>
    <row r="275" spans="8:8" x14ac:dyDescent="0.25">
      <c r="H275"/>
    </row>
    <row r="276" spans="8:8" x14ac:dyDescent="0.25">
      <c r="H276"/>
    </row>
    <row r="277" spans="8:8" x14ac:dyDescent="0.25">
      <c r="H277"/>
    </row>
    <row r="278" spans="8:8" x14ac:dyDescent="0.25">
      <c r="H278"/>
    </row>
    <row r="279" spans="8:8" x14ac:dyDescent="0.25">
      <c r="H279"/>
    </row>
    <row r="280" spans="8:8" x14ac:dyDescent="0.25">
      <c r="H280"/>
    </row>
    <row r="281" spans="8:8" x14ac:dyDescent="0.25">
      <c r="H281"/>
    </row>
    <row r="282" spans="8:8" x14ac:dyDescent="0.25">
      <c r="H282"/>
    </row>
    <row r="283" spans="8:8" x14ac:dyDescent="0.25">
      <c r="H283"/>
    </row>
    <row r="284" spans="8:8" x14ac:dyDescent="0.25">
      <c r="H284"/>
    </row>
    <row r="285" spans="8:8" x14ac:dyDescent="0.25">
      <c r="H285"/>
    </row>
    <row r="286" spans="8:8" x14ac:dyDescent="0.25">
      <c r="H286"/>
    </row>
    <row r="287" spans="8:8" x14ac:dyDescent="0.25">
      <c r="H287"/>
    </row>
    <row r="288" spans="8:8" x14ac:dyDescent="0.25">
      <c r="H288"/>
    </row>
    <row r="289" spans="8:8" x14ac:dyDescent="0.25">
      <c r="H289"/>
    </row>
    <row r="290" spans="8:8" x14ac:dyDescent="0.25">
      <c r="H290"/>
    </row>
    <row r="291" spans="8:8" x14ac:dyDescent="0.25">
      <c r="H291"/>
    </row>
    <row r="292" spans="8:8" x14ac:dyDescent="0.25">
      <c r="H292"/>
    </row>
    <row r="293" spans="8:8" x14ac:dyDescent="0.25">
      <c r="H293"/>
    </row>
    <row r="294" spans="8:8" x14ac:dyDescent="0.25">
      <c r="H294"/>
    </row>
    <row r="295" spans="8:8" x14ac:dyDescent="0.25">
      <c r="H295"/>
    </row>
    <row r="296" spans="8:8" x14ac:dyDescent="0.25">
      <c r="H296"/>
    </row>
    <row r="297" spans="8:8" x14ac:dyDescent="0.25">
      <c r="H297"/>
    </row>
    <row r="298" spans="8:8" x14ac:dyDescent="0.25">
      <c r="H298"/>
    </row>
    <row r="299" spans="8:8" x14ac:dyDescent="0.25">
      <c r="H299"/>
    </row>
    <row r="300" spans="8:8" x14ac:dyDescent="0.25">
      <c r="H300"/>
    </row>
    <row r="301" spans="8:8" x14ac:dyDescent="0.25">
      <c r="H301"/>
    </row>
    <row r="302" spans="8:8" x14ac:dyDescent="0.25">
      <c r="H302"/>
    </row>
    <row r="303" spans="8:8" x14ac:dyDescent="0.25">
      <c r="H303"/>
    </row>
    <row r="304" spans="8:8" x14ac:dyDescent="0.25">
      <c r="H304"/>
    </row>
    <row r="305" spans="8:8" x14ac:dyDescent="0.25">
      <c r="H305"/>
    </row>
    <row r="306" spans="8:8" x14ac:dyDescent="0.25">
      <c r="H306"/>
    </row>
    <row r="307" spans="8:8" x14ac:dyDescent="0.25">
      <c r="H307"/>
    </row>
    <row r="308" spans="8:8" x14ac:dyDescent="0.25">
      <c r="H308"/>
    </row>
    <row r="309" spans="8:8" x14ac:dyDescent="0.25">
      <c r="H309"/>
    </row>
    <row r="310" spans="8:8" x14ac:dyDescent="0.25">
      <c r="H310"/>
    </row>
    <row r="311" spans="8:8" x14ac:dyDescent="0.25">
      <c r="H311"/>
    </row>
    <row r="312" spans="8:8" x14ac:dyDescent="0.25">
      <c r="H312"/>
    </row>
    <row r="313" spans="8:8" x14ac:dyDescent="0.25">
      <c r="H313"/>
    </row>
    <row r="314" spans="8:8" x14ac:dyDescent="0.25">
      <c r="H314"/>
    </row>
    <row r="315" spans="8:8" x14ac:dyDescent="0.25">
      <c r="H315"/>
    </row>
    <row r="316" spans="8:8" x14ac:dyDescent="0.25">
      <c r="H316"/>
    </row>
    <row r="317" spans="8:8" x14ac:dyDescent="0.25">
      <c r="H317"/>
    </row>
    <row r="318" spans="8:8" x14ac:dyDescent="0.25">
      <c r="H318"/>
    </row>
    <row r="319" spans="8:8" x14ac:dyDescent="0.25">
      <c r="H319"/>
    </row>
    <row r="320" spans="8:8" x14ac:dyDescent="0.25">
      <c r="H320"/>
    </row>
    <row r="321" spans="8:8" x14ac:dyDescent="0.25">
      <c r="H321"/>
    </row>
    <row r="322" spans="8:8" x14ac:dyDescent="0.25">
      <c r="H322"/>
    </row>
    <row r="323" spans="8:8" x14ac:dyDescent="0.25">
      <c r="H323"/>
    </row>
    <row r="324" spans="8:8" x14ac:dyDescent="0.25">
      <c r="H324"/>
    </row>
    <row r="325" spans="8:8" x14ac:dyDescent="0.25">
      <c r="H325"/>
    </row>
    <row r="326" spans="8:8" x14ac:dyDescent="0.25">
      <c r="H326"/>
    </row>
    <row r="327" spans="8:8" x14ac:dyDescent="0.25">
      <c r="H327"/>
    </row>
    <row r="328" spans="8:8" x14ac:dyDescent="0.25">
      <c r="H328"/>
    </row>
    <row r="329" spans="8:8" x14ac:dyDescent="0.25">
      <c r="H329"/>
    </row>
    <row r="330" spans="8:8" x14ac:dyDescent="0.25">
      <c r="H330"/>
    </row>
    <row r="331" spans="8:8" x14ac:dyDescent="0.25">
      <c r="H331"/>
    </row>
    <row r="332" spans="8:8" x14ac:dyDescent="0.25">
      <c r="H332"/>
    </row>
    <row r="333" spans="8:8" x14ac:dyDescent="0.25">
      <c r="H333"/>
    </row>
    <row r="334" spans="8:8" x14ac:dyDescent="0.25">
      <c r="H334"/>
    </row>
    <row r="335" spans="8:8" x14ac:dyDescent="0.25">
      <c r="H335"/>
    </row>
    <row r="336" spans="8:8" x14ac:dyDescent="0.25">
      <c r="H336"/>
    </row>
    <row r="337" spans="8:8" x14ac:dyDescent="0.25">
      <c r="H337"/>
    </row>
    <row r="338" spans="8:8" x14ac:dyDescent="0.25">
      <c r="H338"/>
    </row>
    <row r="339" spans="8:8" x14ac:dyDescent="0.25">
      <c r="H339"/>
    </row>
    <row r="340" spans="8:8" x14ac:dyDescent="0.25">
      <c r="H340"/>
    </row>
    <row r="341" spans="8:8" x14ac:dyDescent="0.25">
      <c r="H341"/>
    </row>
    <row r="342" spans="8:8" x14ac:dyDescent="0.25">
      <c r="H342"/>
    </row>
    <row r="343" spans="8:8" x14ac:dyDescent="0.25">
      <c r="H343"/>
    </row>
    <row r="344" spans="8:8" x14ac:dyDescent="0.25">
      <c r="H344"/>
    </row>
    <row r="346" spans="8:8" x14ac:dyDescent="0.25">
      <c r="H346"/>
    </row>
    <row r="347" spans="8:8" x14ac:dyDescent="0.25">
      <c r="H347"/>
    </row>
    <row r="348" spans="8:8" x14ac:dyDescent="0.25">
      <c r="H348"/>
    </row>
    <row r="349" spans="8:8" x14ac:dyDescent="0.25">
      <c r="H349"/>
    </row>
    <row r="350" spans="8:8" x14ac:dyDescent="0.25">
      <c r="H350"/>
    </row>
    <row r="351" spans="8:8" x14ac:dyDescent="0.25">
      <c r="H351"/>
    </row>
    <row r="352" spans="8:8" x14ac:dyDescent="0.25">
      <c r="H352"/>
    </row>
    <row r="353" spans="8:8" x14ac:dyDescent="0.25">
      <c r="H353"/>
    </row>
    <row r="354" spans="8:8" x14ac:dyDescent="0.25">
      <c r="H354"/>
    </row>
    <row r="355" spans="8:8" x14ac:dyDescent="0.25">
      <c r="H355"/>
    </row>
    <row r="356" spans="8:8" x14ac:dyDescent="0.25">
      <c r="H356"/>
    </row>
    <row r="357" spans="8:8" x14ac:dyDescent="0.25">
      <c r="H357"/>
    </row>
    <row r="358" spans="8:8" x14ac:dyDescent="0.25">
      <c r="H358"/>
    </row>
    <row r="359" spans="8:8" x14ac:dyDescent="0.25">
      <c r="H359"/>
    </row>
    <row r="360" spans="8:8" x14ac:dyDescent="0.25">
      <c r="H360"/>
    </row>
    <row r="361" spans="8:8" x14ac:dyDescent="0.25">
      <c r="H361"/>
    </row>
    <row r="362" spans="8:8" x14ac:dyDescent="0.25">
      <c r="H362"/>
    </row>
    <row r="363" spans="8:8" x14ac:dyDescent="0.25">
      <c r="H363"/>
    </row>
    <row r="364" spans="8:8" x14ac:dyDescent="0.25">
      <c r="H364"/>
    </row>
    <row r="365" spans="8:8" x14ac:dyDescent="0.25">
      <c r="H365"/>
    </row>
    <row r="366" spans="8:8" x14ac:dyDescent="0.25">
      <c r="H366"/>
    </row>
    <row r="367" spans="8:8" x14ac:dyDescent="0.25">
      <c r="H367"/>
    </row>
    <row r="368" spans="8:8" x14ac:dyDescent="0.25">
      <c r="H368"/>
    </row>
    <row r="369" spans="8:8" x14ac:dyDescent="0.25">
      <c r="H369"/>
    </row>
    <row r="370" spans="8:8" x14ac:dyDescent="0.25">
      <c r="H370"/>
    </row>
    <row r="371" spans="8:8" x14ac:dyDescent="0.25">
      <c r="H371"/>
    </row>
    <row r="372" spans="8:8" x14ac:dyDescent="0.25">
      <c r="H372"/>
    </row>
    <row r="373" spans="8:8" x14ac:dyDescent="0.25">
      <c r="H373"/>
    </row>
    <row r="374" spans="8:8" x14ac:dyDescent="0.25">
      <c r="H374"/>
    </row>
    <row r="375" spans="8:8" x14ac:dyDescent="0.25">
      <c r="H375"/>
    </row>
    <row r="376" spans="8:8" x14ac:dyDescent="0.25">
      <c r="H376"/>
    </row>
    <row r="377" spans="8:8" x14ac:dyDescent="0.25">
      <c r="H377"/>
    </row>
    <row r="378" spans="8:8" x14ac:dyDescent="0.25">
      <c r="H378"/>
    </row>
    <row r="379" spans="8:8" x14ac:dyDescent="0.25">
      <c r="H379"/>
    </row>
    <row r="380" spans="8:8" x14ac:dyDescent="0.25">
      <c r="H380"/>
    </row>
    <row r="381" spans="8:8" x14ac:dyDescent="0.25">
      <c r="H381"/>
    </row>
    <row r="382" spans="8:8" x14ac:dyDescent="0.25">
      <c r="H382"/>
    </row>
    <row r="383" spans="8:8" x14ac:dyDescent="0.25">
      <c r="H383"/>
    </row>
    <row r="384" spans="8:8" x14ac:dyDescent="0.25">
      <c r="H384"/>
    </row>
    <row r="385" spans="8:8" x14ac:dyDescent="0.25">
      <c r="H385"/>
    </row>
    <row r="386" spans="8:8" x14ac:dyDescent="0.25">
      <c r="H386"/>
    </row>
    <row r="387" spans="8:8" x14ac:dyDescent="0.25">
      <c r="H387"/>
    </row>
    <row r="388" spans="8:8" x14ac:dyDescent="0.25">
      <c r="H388"/>
    </row>
    <row r="389" spans="8:8" x14ac:dyDescent="0.25">
      <c r="H389"/>
    </row>
    <row r="390" spans="8:8" x14ac:dyDescent="0.25">
      <c r="H390"/>
    </row>
    <row r="391" spans="8:8" x14ac:dyDescent="0.25">
      <c r="H391"/>
    </row>
    <row r="392" spans="8:8" x14ac:dyDescent="0.25">
      <c r="H392"/>
    </row>
    <row r="393" spans="8:8" x14ac:dyDescent="0.25">
      <c r="H393"/>
    </row>
    <row r="394" spans="8:8" x14ac:dyDescent="0.25">
      <c r="H394"/>
    </row>
    <row r="395" spans="8:8" x14ac:dyDescent="0.25">
      <c r="H395"/>
    </row>
    <row r="396" spans="8:8" x14ac:dyDescent="0.25">
      <c r="H396"/>
    </row>
    <row r="397" spans="8:8" x14ac:dyDescent="0.25">
      <c r="H397"/>
    </row>
    <row r="398" spans="8:8" x14ac:dyDescent="0.25">
      <c r="H398"/>
    </row>
    <row r="399" spans="8:8" x14ac:dyDescent="0.25">
      <c r="H399"/>
    </row>
    <row r="400" spans="8:8" x14ac:dyDescent="0.25">
      <c r="H400"/>
    </row>
    <row r="401" spans="8:8" x14ac:dyDescent="0.25">
      <c r="H401"/>
    </row>
    <row r="402" spans="8:8" x14ac:dyDescent="0.25">
      <c r="H402"/>
    </row>
    <row r="403" spans="8:8" x14ac:dyDescent="0.25">
      <c r="H403"/>
    </row>
    <row r="404" spans="8:8" x14ac:dyDescent="0.25">
      <c r="H404"/>
    </row>
    <row r="405" spans="8:8" x14ac:dyDescent="0.25">
      <c r="H405"/>
    </row>
    <row r="406" spans="8:8" x14ac:dyDescent="0.25">
      <c r="H406"/>
    </row>
    <row r="407" spans="8:8" x14ac:dyDescent="0.25">
      <c r="H407"/>
    </row>
    <row r="408" spans="8:8" x14ac:dyDescent="0.25">
      <c r="H408"/>
    </row>
    <row r="409" spans="8:8" x14ac:dyDescent="0.25">
      <c r="H409"/>
    </row>
    <row r="410" spans="8:8" x14ac:dyDescent="0.25">
      <c r="H410"/>
    </row>
    <row r="411" spans="8:8" x14ac:dyDescent="0.25">
      <c r="H411"/>
    </row>
    <row r="412" spans="8:8" x14ac:dyDescent="0.25">
      <c r="H412"/>
    </row>
    <row r="414" spans="8:8" x14ac:dyDescent="0.25">
      <c r="H414"/>
    </row>
    <row r="415" spans="8:8" x14ac:dyDescent="0.25">
      <c r="H415"/>
    </row>
    <row r="416" spans="8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8" x14ac:dyDescent="0.25">
      <c r="H433"/>
    </row>
    <row r="434" spans="8:8" x14ac:dyDescent="0.25">
      <c r="H434"/>
    </row>
    <row r="435" spans="8:8" x14ac:dyDescent="0.25">
      <c r="H435"/>
    </row>
    <row r="436" spans="8:8" x14ac:dyDescent="0.25">
      <c r="H436"/>
    </row>
    <row r="437" spans="8:8" x14ac:dyDescent="0.25">
      <c r="H437"/>
    </row>
    <row r="438" spans="8:8" x14ac:dyDescent="0.25">
      <c r="H438"/>
    </row>
    <row r="439" spans="8:8" x14ac:dyDescent="0.25">
      <c r="H439"/>
    </row>
    <row r="440" spans="8:8" x14ac:dyDescent="0.25">
      <c r="H440"/>
    </row>
    <row r="441" spans="8:8" x14ac:dyDescent="0.25">
      <c r="H441"/>
    </row>
    <row r="442" spans="8:8" x14ac:dyDescent="0.25">
      <c r="H442"/>
    </row>
    <row r="443" spans="8:8" x14ac:dyDescent="0.25">
      <c r="H443"/>
    </row>
    <row r="444" spans="8:8" x14ac:dyDescent="0.25">
      <c r="H444"/>
    </row>
    <row r="445" spans="8:8" x14ac:dyDescent="0.25">
      <c r="H445"/>
    </row>
    <row r="446" spans="8:8" x14ac:dyDescent="0.25">
      <c r="H446"/>
    </row>
    <row r="447" spans="8:8" x14ac:dyDescent="0.25">
      <c r="H447"/>
    </row>
    <row r="448" spans="8:8" x14ac:dyDescent="0.25">
      <c r="H448"/>
    </row>
    <row r="449" spans="8:8" x14ac:dyDescent="0.25">
      <c r="H449"/>
    </row>
    <row r="450" spans="8:8" x14ac:dyDescent="0.25">
      <c r="H450"/>
    </row>
    <row r="451" spans="8:8" x14ac:dyDescent="0.25">
      <c r="H451"/>
    </row>
    <row r="452" spans="8:8" x14ac:dyDescent="0.25">
      <c r="H452"/>
    </row>
    <row r="453" spans="8:8" x14ac:dyDescent="0.25">
      <c r="H453"/>
    </row>
    <row r="454" spans="8:8" x14ac:dyDescent="0.25">
      <c r="H454"/>
    </row>
    <row r="455" spans="8:8" x14ac:dyDescent="0.25">
      <c r="H455"/>
    </row>
    <row r="456" spans="8:8" x14ac:dyDescent="0.25">
      <c r="H456"/>
    </row>
    <row r="457" spans="8:8" x14ac:dyDescent="0.25">
      <c r="H457"/>
    </row>
    <row r="459" spans="8:8" x14ac:dyDescent="0.25">
      <c r="H459"/>
    </row>
    <row r="460" spans="8:8" x14ac:dyDescent="0.25">
      <c r="H460"/>
    </row>
    <row r="461" spans="8:8" x14ac:dyDescent="0.25">
      <c r="H461"/>
    </row>
    <row r="462" spans="8:8" x14ac:dyDescent="0.25">
      <c r="H462"/>
    </row>
    <row r="463" spans="8:8" x14ac:dyDescent="0.25">
      <c r="H463"/>
    </row>
    <row r="464" spans="8:8" x14ac:dyDescent="0.25">
      <c r="H464"/>
    </row>
    <row r="467" spans="8:8" x14ac:dyDescent="0.25">
      <c r="H467"/>
    </row>
    <row r="470" spans="8:8" x14ac:dyDescent="0.25">
      <c r="H470"/>
    </row>
    <row r="471" spans="8:8" x14ac:dyDescent="0.25">
      <c r="H471"/>
    </row>
    <row r="474" spans="8:8" x14ac:dyDescent="0.25">
      <c r="H474"/>
    </row>
    <row r="475" spans="8:8" x14ac:dyDescent="0.25">
      <c r="H475"/>
    </row>
    <row r="476" spans="8:8" x14ac:dyDescent="0.25">
      <c r="H476"/>
    </row>
    <row r="478" spans="8:8" x14ac:dyDescent="0.25">
      <c r="H478"/>
    </row>
    <row r="479" spans="8:8" x14ac:dyDescent="0.25">
      <c r="H479"/>
    </row>
    <row r="480" spans="8:8" x14ac:dyDescent="0.25">
      <c r="H480"/>
    </row>
    <row r="481" spans="8:8" x14ac:dyDescent="0.25">
      <c r="H481"/>
    </row>
    <row r="482" spans="8:8" x14ac:dyDescent="0.25">
      <c r="H482"/>
    </row>
    <row r="483" spans="8:8" x14ac:dyDescent="0.25">
      <c r="H483"/>
    </row>
    <row r="484" spans="8:8" x14ac:dyDescent="0.25">
      <c r="H484"/>
    </row>
    <row r="486" spans="8:8" x14ac:dyDescent="0.25">
      <c r="H486"/>
    </row>
    <row r="487" spans="8:8" x14ac:dyDescent="0.25">
      <c r="H487"/>
    </row>
    <row r="488" spans="8:8" x14ac:dyDescent="0.25">
      <c r="H488"/>
    </row>
    <row r="489" spans="8:8" x14ac:dyDescent="0.25">
      <c r="H489"/>
    </row>
    <row r="490" spans="8:8" x14ac:dyDescent="0.25">
      <c r="H490"/>
    </row>
    <row r="491" spans="8:8" x14ac:dyDescent="0.25">
      <c r="H491"/>
    </row>
    <row r="493" spans="8:8" x14ac:dyDescent="0.25">
      <c r="H493"/>
    </row>
    <row r="494" spans="8:8" x14ac:dyDescent="0.25">
      <c r="H494"/>
    </row>
    <row r="495" spans="8:8" x14ac:dyDescent="0.25">
      <c r="H495"/>
    </row>
    <row r="496" spans="8:8" x14ac:dyDescent="0.25">
      <c r="H496"/>
    </row>
    <row r="500" spans="8:8" x14ac:dyDescent="0.25">
      <c r="H500"/>
    </row>
    <row r="501" spans="8:8" x14ac:dyDescent="0.25">
      <c r="H501"/>
    </row>
    <row r="502" spans="8:8" x14ac:dyDescent="0.25">
      <c r="H502"/>
    </row>
    <row r="503" spans="8:8" x14ac:dyDescent="0.25">
      <c r="H503"/>
    </row>
    <row r="504" spans="8:8" x14ac:dyDescent="0.25">
      <c r="H504"/>
    </row>
    <row r="505" spans="8:8" x14ac:dyDescent="0.25">
      <c r="H505"/>
    </row>
    <row r="506" spans="8:8" x14ac:dyDescent="0.25">
      <c r="H506"/>
    </row>
    <row r="507" spans="8:8" x14ac:dyDescent="0.25">
      <c r="H507"/>
    </row>
    <row r="508" spans="8:8" x14ac:dyDescent="0.25">
      <c r="H508"/>
    </row>
    <row r="509" spans="8:8" x14ac:dyDescent="0.25">
      <c r="H509"/>
    </row>
    <row r="510" spans="8:8" x14ac:dyDescent="0.25">
      <c r="H510"/>
    </row>
    <row r="511" spans="8:8" x14ac:dyDescent="0.25">
      <c r="H511"/>
    </row>
    <row r="512" spans="8:8" x14ac:dyDescent="0.25">
      <c r="H512"/>
    </row>
    <row r="513" spans="8:8" x14ac:dyDescent="0.25">
      <c r="H513"/>
    </row>
    <row r="514" spans="8:8" x14ac:dyDescent="0.25">
      <c r="H514"/>
    </row>
    <row r="515" spans="8:8" x14ac:dyDescent="0.25">
      <c r="H515"/>
    </row>
    <row r="516" spans="8:8" x14ac:dyDescent="0.25">
      <c r="H516"/>
    </row>
    <row r="517" spans="8:8" x14ac:dyDescent="0.25">
      <c r="H517"/>
    </row>
    <row r="518" spans="8:8" x14ac:dyDescent="0.25">
      <c r="H518"/>
    </row>
    <row r="519" spans="8:8" x14ac:dyDescent="0.25">
      <c r="H519"/>
    </row>
    <row r="520" spans="8:8" x14ac:dyDescent="0.25">
      <c r="H520"/>
    </row>
    <row r="521" spans="8:8" x14ac:dyDescent="0.25">
      <c r="H521"/>
    </row>
    <row r="522" spans="8:8" x14ac:dyDescent="0.25">
      <c r="H522"/>
    </row>
    <row r="523" spans="8:8" x14ac:dyDescent="0.25">
      <c r="H523"/>
    </row>
    <row r="524" spans="8:8" x14ac:dyDescent="0.25">
      <c r="H524"/>
    </row>
    <row r="525" spans="8:8" x14ac:dyDescent="0.25">
      <c r="H525"/>
    </row>
    <row r="526" spans="8:8" x14ac:dyDescent="0.25">
      <c r="H526"/>
    </row>
    <row r="527" spans="8:8" x14ac:dyDescent="0.25">
      <c r="H527"/>
    </row>
    <row r="528" spans="8:8" x14ac:dyDescent="0.25">
      <c r="H528"/>
    </row>
    <row r="529" spans="8:8" x14ac:dyDescent="0.25">
      <c r="H529"/>
    </row>
    <row r="530" spans="8:8" x14ac:dyDescent="0.25">
      <c r="H530"/>
    </row>
    <row r="531" spans="8:8" x14ac:dyDescent="0.25">
      <c r="H531"/>
    </row>
    <row r="532" spans="8:8" x14ac:dyDescent="0.25">
      <c r="H532"/>
    </row>
    <row r="533" spans="8:8" x14ac:dyDescent="0.25">
      <c r="H533"/>
    </row>
    <row r="534" spans="8:8" x14ac:dyDescent="0.25">
      <c r="H534"/>
    </row>
    <row r="535" spans="8:8" x14ac:dyDescent="0.25">
      <c r="H535"/>
    </row>
    <row r="536" spans="8:8" x14ac:dyDescent="0.25">
      <c r="H536"/>
    </row>
    <row r="537" spans="8:8" x14ac:dyDescent="0.25">
      <c r="H537"/>
    </row>
    <row r="538" spans="8:8" x14ac:dyDescent="0.25">
      <c r="H538"/>
    </row>
    <row r="539" spans="8:8" x14ac:dyDescent="0.25">
      <c r="H539"/>
    </row>
    <row r="540" spans="8:8" x14ac:dyDescent="0.25">
      <c r="H540"/>
    </row>
    <row r="541" spans="8:8" x14ac:dyDescent="0.25">
      <c r="H541"/>
    </row>
    <row r="542" spans="8:8" x14ac:dyDescent="0.25">
      <c r="H542"/>
    </row>
    <row r="543" spans="8:8" x14ac:dyDescent="0.25">
      <c r="H543"/>
    </row>
    <row r="544" spans="8:8" x14ac:dyDescent="0.25">
      <c r="H544"/>
    </row>
    <row r="545" spans="8:8" x14ac:dyDescent="0.25">
      <c r="H545"/>
    </row>
    <row r="546" spans="8:8" x14ac:dyDescent="0.25">
      <c r="H546"/>
    </row>
    <row r="547" spans="8:8" x14ac:dyDescent="0.25">
      <c r="H547"/>
    </row>
    <row r="548" spans="8:8" x14ac:dyDescent="0.25">
      <c r="H548"/>
    </row>
    <row r="549" spans="8:8" x14ac:dyDescent="0.25">
      <c r="H549"/>
    </row>
    <row r="550" spans="8:8" x14ac:dyDescent="0.25">
      <c r="H550"/>
    </row>
    <row r="551" spans="8:8" x14ac:dyDescent="0.25">
      <c r="H551"/>
    </row>
    <row r="552" spans="8:8" x14ac:dyDescent="0.25">
      <c r="H552"/>
    </row>
    <row r="554" spans="8:8" x14ac:dyDescent="0.25">
      <c r="H554"/>
    </row>
    <row r="555" spans="8:8" x14ac:dyDescent="0.25">
      <c r="H555"/>
    </row>
    <row r="556" spans="8:8" x14ac:dyDescent="0.25">
      <c r="H556"/>
    </row>
    <row r="557" spans="8:8" x14ac:dyDescent="0.25">
      <c r="H557"/>
    </row>
    <row r="563" spans="8:8" x14ac:dyDescent="0.25">
      <c r="H563"/>
    </row>
    <row r="564" spans="8:8" x14ac:dyDescent="0.25">
      <c r="H564"/>
    </row>
    <row r="565" spans="8:8" x14ac:dyDescent="0.25">
      <c r="H565"/>
    </row>
    <row r="566" spans="8:8" x14ac:dyDescent="0.25">
      <c r="H566"/>
    </row>
    <row r="567" spans="8:8" x14ac:dyDescent="0.25">
      <c r="H567"/>
    </row>
    <row r="568" spans="8:8" x14ac:dyDescent="0.25">
      <c r="H568"/>
    </row>
    <row r="569" spans="8:8" x14ac:dyDescent="0.25">
      <c r="H569"/>
    </row>
    <row r="570" spans="8:8" x14ac:dyDescent="0.25">
      <c r="H570"/>
    </row>
    <row r="571" spans="8:8" x14ac:dyDescent="0.25">
      <c r="H571"/>
    </row>
    <row r="572" spans="8:8" x14ac:dyDescent="0.25">
      <c r="H572"/>
    </row>
    <row r="573" spans="8:8" x14ac:dyDescent="0.25">
      <c r="H573"/>
    </row>
    <row r="574" spans="8:8" x14ac:dyDescent="0.25">
      <c r="H574"/>
    </row>
    <row r="575" spans="8:8" x14ac:dyDescent="0.25">
      <c r="H575"/>
    </row>
    <row r="576" spans="8:8" x14ac:dyDescent="0.25">
      <c r="H576"/>
    </row>
    <row r="577" spans="8:8" x14ac:dyDescent="0.25">
      <c r="H577"/>
    </row>
    <row r="578" spans="8:8" x14ac:dyDescent="0.25">
      <c r="H578"/>
    </row>
    <row r="579" spans="8:8" x14ac:dyDescent="0.25">
      <c r="H579"/>
    </row>
    <row r="580" spans="8:8" x14ac:dyDescent="0.25">
      <c r="H580"/>
    </row>
    <row r="581" spans="8:8" x14ac:dyDescent="0.25">
      <c r="H581"/>
    </row>
    <row r="582" spans="8:8" x14ac:dyDescent="0.25">
      <c r="H582"/>
    </row>
    <row r="583" spans="8:8" x14ac:dyDescent="0.25">
      <c r="H583"/>
    </row>
    <row r="584" spans="8:8" x14ac:dyDescent="0.25">
      <c r="H584"/>
    </row>
    <row r="585" spans="8:8" x14ac:dyDescent="0.25">
      <c r="H585"/>
    </row>
    <row r="586" spans="8:8" x14ac:dyDescent="0.25">
      <c r="H586"/>
    </row>
    <row r="587" spans="8:8" x14ac:dyDescent="0.25">
      <c r="H587"/>
    </row>
    <row r="588" spans="8:8" x14ac:dyDescent="0.25">
      <c r="H588"/>
    </row>
    <row r="589" spans="8:8" x14ac:dyDescent="0.25">
      <c r="H589"/>
    </row>
    <row r="590" spans="8:8" x14ac:dyDescent="0.25">
      <c r="H590"/>
    </row>
    <row r="591" spans="8:8" x14ac:dyDescent="0.25">
      <c r="H591"/>
    </row>
    <row r="592" spans="8:8" x14ac:dyDescent="0.25">
      <c r="H592"/>
    </row>
    <row r="593" spans="8:8" x14ac:dyDescent="0.25">
      <c r="H593"/>
    </row>
    <row r="594" spans="8:8" x14ac:dyDescent="0.25">
      <c r="H594"/>
    </row>
    <row r="595" spans="8:8" x14ac:dyDescent="0.25">
      <c r="H595"/>
    </row>
    <row r="596" spans="8:8" x14ac:dyDescent="0.25">
      <c r="H596"/>
    </row>
    <row r="597" spans="8:8" x14ac:dyDescent="0.25">
      <c r="H597"/>
    </row>
    <row r="598" spans="8:8" x14ac:dyDescent="0.25">
      <c r="H598"/>
    </row>
    <row r="599" spans="8:8" x14ac:dyDescent="0.25">
      <c r="H599"/>
    </row>
    <row r="600" spans="8:8" x14ac:dyDescent="0.25">
      <c r="H600"/>
    </row>
    <row r="601" spans="8:8" x14ac:dyDescent="0.25">
      <c r="H601"/>
    </row>
    <row r="602" spans="8:8" x14ac:dyDescent="0.25">
      <c r="H602"/>
    </row>
    <row r="603" spans="8:8" x14ac:dyDescent="0.25">
      <c r="H603"/>
    </row>
    <row r="604" spans="8:8" x14ac:dyDescent="0.25">
      <c r="H604"/>
    </row>
    <row r="605" spans="8:8" x14ac:dyDescent="0.25">
      <c r="H605"/>
    </row>
    <row r="606" spans="8:8" x14ac:dyDescent="0.25">
      <c r="H606"/>
    </row>
    <row r="607" spans="8:8" x14ac:dyDescent="0.25">
      <c r="H607"/>
    </row>
    <row r="608" spans="8:8" x14ac:dyDescent="0.25">
      <c r="H608"/>
    </row>
    <row r="609" spans="8:8" x14ac:dyDescent="0.25">
      <c r="H609"/>
    </row>
    <row r="610" spans="8:8" x14ac:dyDescent="0.25">
      <c r="H610"/>
    </row>
    <row r="611" spans="8:8" x14ac:dyDescent="0.25">
      <c r="H611"/>
    </row>
    <row r="612" spans="8:8" x14ac:dyDescent="0.25">
      <c r="H612"/>
    </row>
    <row r="613" spans="8:8" x14ac:dyDescent="0.25">
      <c r="H613"/>
    </row>
    <row r="614" spans="8:8" x14ac:dyDescent="0.25">
      <c r="H614"/>
    </row>
    <row r="615" spans="8:8" x14ac:dyDescent="0.25">
      <c r="H615"/>
    </row>
    <row r="616" spans="8:8" x14ac:dyDescent="0.25">
      <c r="H616"/>
    </row>
    <row r="617" spans="8:8" x14ac:dyDescent="0.25">
      <c r="H617"/>
    </row>
    <row r="619" spans="8:8" x14ac:dyDescent="0.25">
      <c r="H619"/>
    </row>
    <row r="620" spans="8:8" x14ac:dyDescent="0.25">
      <c r="H620"/>
    </row>
    <row r="621" spans="8:8" x14ac:dyDescent="0.25">
      <c r="H621"/>
    </row>
    <row r="622" spans="8:8" x14ac:dyDescent="0.25">
      <c r="H622"/>
    </row>
    <row r="623" spans="8:8" x14ac:dyDescent="0.25">
      <c r="H623"/>
    </row>
    <row r="624" spans="8:8" x14ac:dyDescent="0.25">
      <c r="H624"/>
    </row>
    <row r="625" spans="8:8" x14ac:dyDescent="0.25">
      <c r="H625"/>
    </row>
    <row r="626" spans="8:8" x14ac:dyDescent="0.25">
      <c r="H626"/>
    </row>
    <row r="627" spans="8:8" x14ac:dyDescent="0.25">
      <c r="H627"/>
    </row>
    <row r="628" spans="8:8" x14ac:dyDescent="0.25">
      <c r="H628"/>
    </row>
    <row r="629" spans="8:8" x14ac:dyDescent="0.25">
      <c r="H629"/>
    </row>
    <row r="630" spans="8:8" x14ac:dyDescent="0.25">
      <c r="H630"/>
    </row>
    <row r="631" spans="8:8" x14ac:dyDescent="0.25">
      <c r="H631"/>
    </row>
    <row r="632" spans="8:8" x14ac:dyDescent="0.25">
      <c r="H632"/>
    </row>
    <row r="633" spans="8:8" x14ac:dyDescent="0.25">
      <c r="H633"/>
    </row>
    <row r="634" spans="8:8" x14ac:dyDescent="0.25">
      <c r="H634"/>
    </row>
    <row r="635" spans="8:8" x14ac:dyDescent="0.25">
      <c r="H635"/>
    </row>
    <row r="636" spans="8:8" x14ac:dyDescent="0.25">
      <c r="H636"/>
    </row>
    <row r="637" spans="8:8" x14ac:dyDescent="0.25">
      <c r="H637"/>
    </row>
    <row r="638" spans="8:8" x14ac:dyDescent="0.25">
      <c r="H638"/>
    </row>
    <row r="639" spans="8:8" x14ac:dyDescent="0.25">
      <c r="H639"/>
    </row>
    <row r="640" spans="8:8" x14ac:dyDescent="0.25">
      <c r="H640"/>
    </row>
    <row r="641" spans="8:8" x14ac:dyDescent="0.25">
      <c r="H641"/>
    </row>
    <row r="642" spans="8:8" x14ac:dyDescent="0.25">
      <c r="H642"/>
    </row>
    <row r="643" spans="8:8" x14ac:dyDescent="0.25">
      <c r="H643"/>
    </row>
    <row r="644" spans="8:8" x14ac:dyDescent="0.25">
      <c r="H644"/>
    </row>
    <row r="645" spans="8:8" x14ac:dyDescent="0.25">
      <c r="H645"/>
    </row>
    <row r="646" spans="8:8" x14ac:dyDescent="0.25">
      <c r="H646"/>
    </row>
    <row r="647" spans="8:8" x14ac:dyDescent="0.25">
      <c r="H647"/>
    </row>
    <row r="648" spans="8:8" x14ac:dyDescent="0.25">
      <c r="H648"/>
    </row>
    <row r="649" spans="8:8" x14ac:dyDescent="0.25">
      <c r="H649"/>
    </row>
    <row r="650" spans="8:8" x14ac:dyDescent="0.25">
      <c r="H650"/>
    </row>
    <row r="651" spans="8:8" x14ac:dyDescent="0.25">
      <c r="H651"/>
    </row>
    <row r="652" spans="8:8" x14ac:dyDescent="0.25">
      <c r="H652"/>
    </row>
    <row r="653" spans="8:8" x14ac:dyDescent="0.25">
      <c r="H653"/>
    </row>
    <row r="654" spans="8:8" x14ac:dyDescent="0.25">
      <c r="H654"/>
    </row>
    <row r="656" spans="8:8" x14ac:dyDescent="0.25">
      <c r="H656"/>
    </row>
    <row r="657" spans="8:8" x14ac:dyDescent="0.25">
      <c r="H657"/>
    </row>
    <row r="658" spans="8:8" x14ac:dyDescent="0.25">
      <c r="H658"/>
    </row>
    <row r="659" spans="8:8" x14ac:dyDescent="0.25">
      <c r="H659"/>
    </row>
    <row r="660" spans="8:8" x14ac:dyDescent="0.25">
      <c r="H660"/>
    </row>
    <row r="661" spans="8:8" x14ac:dyDescent="0.25">
      <c r="H661"/>
    </row>
    <row r="662" spans="8:8" x14ac:dyDescent="0.25">
      <c r="H662"/>
    </row>
    <row r="663" spans="8:8" x14ac:dyDescent="0.25">
      <c r="H663"/>
    </row>
    <row r="664" spans="8:8" x14ac:dyDescent="0.25">
      <c r="H664"/>
    </row>
    <row r="665" spans="8:8" x14ac:dyDescent="0.25">
      <c r="H665"/>
    </row>
    <row r="666" spans="8:8" x14ac:dyDescent="0.25">
      <c r="H666"/>
    </row>
    <row r="667" spans="8:8" x14ac:dyDescent="0.25">
      <c r="H667"/>
    </row>
    <row r="668" spans="8:8" x14ac:dyDescent="0.25">
      <c r="H668"/>
    </row>
    <row r="669" spans="8:8" x14ac:dyDescent="0.25">
      <c r="H669"/>
    </row>
    <row r="670" spans="8:8" x14ac:dyDescent="0.25">
      <c r="H670"/>
    </row>
    <row r="671" spans="8:8" x14ac:dyDescent="0.25">
      <c r="H671"/>
    </row>
    <row r="672" spans="8:8" x14ac:dyDescent="0.25">
      <c r="H672"/>
    </row>
    <row r="673" spans="8:8" x14ac:dyDescent="0.25">
      <c r="H673"/>
    </row>
    <row r="674" spans="8:8" x14ac:dyDescent="0.25">
      <c r="H674"/>
    </row>
    <row r="675" spans="8:8" x14ac:dyDescent="0.25">
      <c r="H675"/>
    </row>
    <row r="676" spans="8:8" x14ac:dyDescent="0.25">
      <c r="H676"/>
    </row>
    <row r="677" spans="8:8" x14ac:dyDescent="0.25">
      <c r="H677"/>
    </row>
    <row r="678" spans="8:8" x14ac:dyDescent="0.25">
      <c r="H678"/>
    </row>
    <row r="679" spans="8:8" x14ac:dyDescent="0.25">
      <c r="H679"/>
    </row>
    <row r="680" spans="8:8" x14ac:dyDescent="0.25">
      <c r="H680"/>
    </row>
  </sheetData>
  <autoFilter ref="A1:AA65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traitees 28 mars</vt:lpstr>
      <vt:lpstr>cas problèmes</vt:lpstr>
    </vt:vector>
  </TitlesOfParts>
  <Company>Judo Québec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Jessika Therrien</dc:creator>
  <cp:lastModifiedBy>Jessika Therrien</cp:lastModifiedBy>
  <cp:lastPrinted>2019-03-29T01:05:18Z</cp:lastPrinted>
  <dcterms:created xsi:type="dcterms:W3CDTF">2019-03-29T01:05:15Z</dcterms:created>
  <dcterms:modified xsi:type="dcterms:W3CDTF">2019-03-29T01:05:44Z</dcterms:modified>
</cp:coreProperties>
</file>