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eorge\Projet\JudoFit\Résultats\"/>
    </mc:Choice>
  </mc:AlternateContent>
  <bookViews>
    <workbookView xWindow="0" yWindow="0" windowWidth="20490" windowHeight="7755" firstSheet="2" activeTab="7"/>
  </bookViews>
  <sheets>
    <sheet name="u14 F" sheetId="2" r:id="rId1"/>
    <sheet name="u14 M" sheetId="3" r:id="rId2"/>
    <sheet name="u16 u18 F" sheetId="4" r:id="rId3"/>
    <sheet name="u16 u18 M" sheetId="5" r:id="rId4"/>
    <sheet name="u21 senior F" sheetId="7" r:id="rId5"/>
    <sheet name="u21 senior M " sheetId="6" r:id="rId6"/>
    <sheet name="Veteran F" sheetId="8" r:id="rId7"/>
    <sheet name="Veteran M" sheetId="9" r:id="rId8"/>
    <sheet name="Meilleur Club" sheetId="14" r:id="rId9"/>
  </sheets>
  <definedNames>
    <definedName name="_xlnm._FilterDatabase" localSheetId="8" hidden="1">'Meilleur Club'!$A$9:$P$9</definedName>
    <definedName name="_xlnm._FilterDatabase" localSheetId="0" hidden="1">'u14 F'!$A$3:$Q$8</definedName>
    <definedName name="_xlnm._FilterDatabase" localSheetId="1" hidden="1">'u14 M'!$A$3:$Q$10</definedName>
    <definedName name="_xlnm._FilterDatabase" localSheetId="2" hidden="1">'u16 u18 F'!$A$3:$Q$10</definedName>
    <definedName name="_xlnm._FilterDatabase" localSheetId="3" hidden="1">'u16 u18 M'!$A$3:$Q$19</definedName>
    <definedName name="_xlnm._FilterDatabase" localSheetId="4" hidden="1">'u21 senior F'!$A$3:$Q$4</definedName>
    <definedName name="_xlnm._FilterDatabase" localSheetId="5" hidden="1">'u21 senior M '!$A$3:$Q$5</definedName>
    <definedName name="_xlnm._FilterDatabase" localSheetId="6" hidden="1">'Veteran F'!$A$3:$Q$4</definedName>
    <definedName name="_xlnm._FilterDatabase" localSheetId="7" hidden="1">'Veteran M'!$A$3:$Q$10</definedName>
  </definedNames>
  <calcPr calcId="152511"/>
</workbook>
</file>

<file path=xl/calcChain.xml><?xml version="1.0" encoding="utf-8"?>
<calcChain xmlns="http://schemas.openxmlformats.org/spreadsheetml/2006/main">
  <c r="D54" i="14" l="1"/>
  <c r="D27" i="14"/>
  <c r="D56" i="14"/>
  <c r="C56" i="14"/>
  <c r="B56" i="14"/>
  <c r="A56" i="14"/>
  <c r="D30" i="14"/>
  <c r="C30" i="14"/>
  <c r="B30" i="14"/>
  <c r="A30" i="14"/>
  <c r="D14" i="14"/>
  <c r="C14" i="14"/>
  <c r="B14" i="14"/>
  <c r="A14" i="14"/>
  <c r="D59" i="14"/>
  <c r="C59" i="14"/>
  <c r="B59" i="14"/>
  <c r="A59" i="14"/>
  <c r="D37" i="14"/>
  <c r="C37" i="14"/>
  <c r="B37" i="14"/>
  <c r="A37" i="14"/>
  <c r="D33" i="14"/>
  <c r="C33" i="14"/>
  <c r="B33" i="14"/>
  <c r="A33" i="14"/>
  <c r="D8" i="14"/>
  <c r="C8" i="14"/>
  <c r="B8" i="14"/>
  <c r="A8" i="14"/>
  <c r="D36" i="14"/>
  <c r="C36" i="14"/>
  <c r="B36" i="14"/>
  <c r="A36" i="14"/>
  <c r="D10" i="14"/>
  <c r="C10" i="14"/>
  <c r="B10" i="14"/>
  <c r="A10" i="14"/>
  <c r="D32" i="14"/>
  <c r="C32" i="14"/>
  <c r="B32" i="14"/>
  <c r="A32" i="14"/>
  <c r="D35" i="14"/>
  <c r="C35" i="14"/>
  <c r="B35" i="14"/>
  <c r="A35" i="14"/>
  <c r="O27" i="14"/>
  <c r="C27" i="14"/>
  <c r="B27" i="14"/>
  <c r="A27" i="14"/>
  <c r="O26" i="14"/>
  <c r="D26" i="14"/>
  <c r="C26" i="14"/>
  <c r="B26" i="14"/>
  <c r="A26" i="14"/>
  <c r="O25" i="14"/>
  <c r="D25" i="14"/>
  <c r="C25" i="14"/>
  <c r="B25" i="14"/>
  <c r="A25" i="14"/>
  <c r="O24" i="14"/>
  <c r="D24" i="14"/>
  <c r="C24" i="14"/>
  <c r="B24" i="14"/>
  <c r="A24" i="14"/>
  <c r="O45" i="14"/>
  <c r="D45" i="14"/>
  <c r="C45" i="14"/>
  <c r="B45" i="14"/>
  <c r="A45" i="14"/>
  <c r="O23" i="14"/>
  <c r="D23" i="14"/>
  <c r="C23" i="14"/>
  <c r="B23" i="14"/>
  <c r="A23" i="14"/>
  <c r="O22" i="14"/>
  <c r="D22" i="14"/>
  <c r="C22" i="14"/>
  <c r="B22" i="14"/>
  <c r="A22" i="14"/>
  <c r="O21" i="14"/>
  <c r="D21" i="14"/>
  <c r="C21" i="14"/>
  <c r="B21" i="14"/>
  <c r="A21" i="14"/>
  <c r="O40" i="14"/>
  <c r="D40" i="14"/>
  <c r="C40" i="14"/>
  <c r="B40" i="14"/>
  <c r="A40" i="14"/>
  <c r="O20" i="14"/>
  <c r="D20" i="14"/>
  <c r="C20" i="14"/>
  <c r="B20" i="14"/>
  <c r="A20" i="14"/>
  <c r="O55" i="14"/>
  <c r="D55" i="14"/>
  <c r="C55" i="14"/>
  <c r="B55" i="14"/>
  <c r="A55" i="14"/>
  <c r="O54" i="14"/>
  <c r="C54" i="14"/>
  <c r="B54" i="14"/>
  <c r="A54" i="14"/>
  <c r="O53" i="14"/>
  <c r="D53" i="14"/>
  <c r="C53" i="14"/>
  <c r="B53" i="14"/>
  <c r="A53" i="14"/>
  <c r="O51" i="14"/>
  <c r="D51" i="14"/>
  <c r="C51" i="14"/>
  <c r="B51" i="14"/>
  <c r="A51" i="14"/>
  <c r="O50" i="14"/>
  <c r="D50" i="14"/>
  <c r="C50" i="14"/>
  <c r="B50" i="14"/>
  <c r="A50" i="14"/>
  <c r="O42" i="14"/>
  <c r="D42" i="14"/>
  <c r="C42" i="14"/>
  <c r="B42" i="14"/>
  <c r="A42" i="14"/>
  <c r="O29" i="14"/>
  <c r="D29" i="14"/>
  <c r="C29" i="14"/>
  <c r="B29" i="14"/>
  <c r="A29" i="14"/>
  <c r="O39" i="14"/>
  <c r="D39" i="14"/>
  <c r="C39" i="14"/>
  <c r="B39" i="14"/>
  <c r="A39" i="14"/>
  <c r="O43" i="14"/>
  <c r="D43" i="14"/>
  <c r="C43" i="14"/>
  <c r="B43" i="14"/>
  <c r="A43" i="14"/>
  <c r="O18" i="14"/>
  <c r="D18" i="14"/>
  <c r="C18" i="14"/>
  <c r="B18" i="14"/>
  <c r="A18" i="14"/>
  <c r="O5" i="14"/>
  <c r="D5" i="14"/>
  <c r="C5" i="14"/>
  <c r="B5" i="14"/>
  <c r="A5" i="14"/>
  <c r="O49" i="14"/>
  <c r="D49" i="14"/>
  <c r="C49" i="14"/>
  <c r="B49" i="14"/>
  <c r="A49" i="14"/>
  <c r="O13" i="14"/>
  <c r="D13" i="14"/>
  <c r="C13" i="14"/>
  <c r="B13" i="14"/>
  <c r="A13" i="14"/>
  <c r="O17" i="14"/>
  <c r="D17" i="14"/>
  <c r="C17" i="14"/>
  <c r="B17" i="14"/>
  <c r="A17" i="14"/>
  <c r="O16" i="14"/>
  <c r="D16" i="14"/>
  <c r="C16" i="14"/>
  <c r="B16" i="14"/>
  <c r="A16" i="14"/>
  <c r="O52" i="14"/>
  <c r="D52" i="14"/>
  <c r="C52" i="14"/>
  <c r="B52" i="14"/>
  <c r="A52" i="14"/>
  <c r="O6" i="14"/>
  <c r="D6" i="14"/>
  <c r="C6" i="14"/>
  <c r="B6" i="14"/>
  <c r="A6" i="14"/>
  <c r="O19" i="14"/>
  <c r="D19" i="14"/>
  <c r="C19" i="14"/>
  <c r="B19" i="14"/>
  <c r="A19" i="14"/>
  <c r="O48" i="14"/>
  <c r="O57" i="14" s="1"/>
  <c r="D48" i="14"/>
  <c r="C48" i="14"/>
  <c r="B48" i="14"/>
  <c r="A48" i="14"/>
  <c r="O11" i="14"/>
  <c r="O28" i="14" s="1"/>
  <c r="D11" i="14"/>
  <c r="C11" i="14"/>
  <c r="B11" i="14"/>
  <c r="A11" i="14"/>
  <c r="D58" i="14"/>
  <c r="C58" i="14"/>
  <c r="B58" i="14"/>
  <c r="A58" i="14"/>
  <c r="D15" i="14"/>
  <c r="D12" i="14"/>
  <c r="C12" i="14"/>
  <c r="B12" i="14"/>
  <c r="A12" i="14"/>
  <c r="D4" i="14"/>
  <c r="C4" i="14"/>
  <c r="B4" i="14"/>
  <c r="A4" i="14"/>
  <c r="D47" i="14"/>
  <c r="C47" i="14"/>
  <c r="B47" i="14"/>
  <c r="A47" i="14"/>
  <c r="O10" i="4" l="1"/>
  <c r="O8" i="4"/>
  <c r="O9" i="4"/>
  <c r="O7" i="4"/>
  <c r="O6" i="4"/>
  <c r="O5" i="4"/>
  <c r="O4" i="4"/>
  <c r="O5" i="3"/>
  <c r="O9" i="3"/>
  <c r="O10" i="3"/>
  <c r="O8" i="3"/>
  <c r="O7" i="3"/>
  <c r="O6" i="3"/>
  <c r="O4" i="3"/>
  <c r="O10" i="5"/>
  <c r="O7" i="5"/>
  <c r="O8" i="5"/>
  <c r="O6" i="5"/>
  <c r="O5" i="5"/>
  <c r="O14" i="5"/>
  <c r="O16" i="5"/>
  <c r="O12" i="5"/>
  <c r="O9" i="5"/>
  <c r="O11" i="5"/>
  <c r="O13" i="5"/>
  <c r="O15" i="5"/>
  <c r="O17" i="5"/>
  <c r="O19" i="5"/>
  <c r="O18" i="5"/>
  <c r="O4" i="5"/>
  <c r="C5" i="4"/>
  <c r="D7" i="4"/>
  <c r="D7" i="2"/>
  <c r="D6" i="3"/>
  <c r="A10" i="5"/>
  <c r="A17" i="5"/>
  <c r="D8" i="9"/>
  <c r="C8" i="9"/>
  <c r="B8" i="9"/>
  <c r="A8" i="9"/>
  <c r="D9" i="9"/>
  <c r="C9" i="9"/>
  <c r="B9" i="9"/>
  <c r="A9" i="9"/>
  <c r="D6" i="9"/>
  <c r="C6" i="9"/>
  <c r="B6" i="9"/>
  <c r="A6" i="9"/>
  <c r="D5" i="9"/>
  <c r="C5" i="9"/>
  <c r="B5" i="9"/>
  <c r="A5" i="9"/>
  <c r="D10" i="9"/>
  <c r="C10" i="9"/>
  <c r="B10" i="9"/>
  <c r="A10" i="9"/>
  <c r="D7" i="9"/>
  <c r="C7" i="9"/>
  <c r="B7" i="9"/>
  <c r="A7" i="9"/>
  <c r="D4" i="9"/>
  <c r="C4" i="9"/>
  <c r="B4" i="9"/>
  <c r="A4" i="9"/>
  <c r="D4" i="6"/>
  <c r="C4" i="6"/>
  <c r="B4" i="6"/>
  <c r="A4" i="6"/>
  <c r="D5" i="6"/>
  <c r="C5" i="6"/>
  <c r="B5" i="6"/>
  <c r="A5" i="6"/>
  <c r="D7" i="5"/>
  <c r="C7" i="5"/>
  <c r="B7" i="5"/>
  <c r="A7" i="5"/>
  <c r="D9" i="5"/>
  <c r="C9" i="5"/>
  <c r="B9" i="5"/>
  <c r="A9" i="5"/>
  <c r="D6" i="5"/>
  <c r="C6" i="5"/>
  <c r="B6" i="5"/>
  <c r="A6" i="5"/>
  <c r="D5" i="5"/>
  <c r="C5" i="5"/>
  <c r="B5" i="5"/>
  <c r="A5" i="5"/>
  <c r="D8" i="5"/>
  <c r="C8" i="5"/>
  <c r="B8" i="5"/>
  <c r="A8" i="5"/>
  <c r="D15" i="5"/>
  <c r="C15" i="5"/>
  <c r="B15" i="5"/>
  <c r="A15" i="5"/>
  <c r="D4" i="5"/>
  <c r="C4" i="5"/>
  <c r="B4" i="5"/>
  <c r="A4" i="5"/>
  <c r="D11" i="5"/>
  <c r="C11" i="5"/>
  <c r="B11" i="5"/>
  <c r="A11" i="5"/>
  <c r="D19" i="5"/>
  <c r="C19" i="5"/>
  <c r="B19" i="5"/>
  <c r="A19" i="5"/>
  <c r="D13" i="5"/>
  <c r="C13" i="5"/>
  <c r="B13" i="5"/>
  <c r="A13" i="5"/>
  <c r="D17" i="5"/>
  <c r="C17" i="5"/>
  <c r="B17" i="5"/>
  <c r="D10" i="5"/>
  <c r="C10" i="5"/>
  <c r="B10" i="5"/>
  <c r="D18" i="5"/>
  <c r="C18" i="5"/>
  <c r="B18" i="5"/>
  <c r="A18" i="5"/>
  <c r="D16" i="5"/>
  <c r="C16" i="5"/>
  <c r="B16" i="5"/>
  <c r="A16" i="5"/>
  <c r="D14" i="5"/>
  <c r="C14" i="5"/>
  <c r="B14" i="5"/>
  <c r="A14" i="5"/>
  <c r="D12" i="5"/>
  <c r="C12" i="5"/>
  <c r="B12" i="5"/>
  <c r="A12" i="5"/>
  <c r="D4" i="3"/>
  <c r="C4" i="3"/>
  <c r="B4" i="3"/>
  <c r="A4" i="3"/>
  <c r="D7" i="3"/>
  <c r="C7" i="3"/>
  <c r="B7" i="3"/>
  <c r="A7" i="3"/>
  <c r="D8" i="3"/>
  <c r="C8" i="3"/>
  <c r="B8" i="3"/>
  <c r="A8" i="3"/>
  <c r="D10" i="3"/>
  <c r="C10" i="3"/>
  <c r="B10" i="3"/>
  <c r="A10" i="3"/>
  <c r="D5" i="3"/>
  <c r="C5" i="3"/>
  <c r="B5" i="3"/>
  <c r="A5" i="3"/>
  <c r="D9" i="3"/>
  <c r="C9" i="3"/>
  <c r="B9" i="3"/>
  <c r="A9" i="3"/>
  <c r="C6" i="3"/>
  <c r="B6" i="3"/>
  <c r="A6" i="3"/>
  <c r="D4" i="8"/>
  <c r="C4" i="8"/>
  <c r="B4" i="8"/>
  <c r="A4" i="8"/>
  <c r="D4" i="7"/>
  <c r="C4" i="7"/>
  <c r="B4" i="7"/>
  <c r="A4" i="7"/>
  <c r="D4" i="4"/>
  <c r="C4" i="4"/>
  <c r="B4" i="4"/>
  <c r="A4" i="4"/>
  <c r="D8" i="4"/>
  <c r="C8" i="4"/>
  <c r="B8" i="4"/>
  <c r="A8" i="4"/>
  <c r="D10" i="4"/>
  <c r="C10" i="4"/>
  <c r="B10" i="4"/>
  <c r="A10" i="4"/>
  <c r="C7" i="4"/>
  <c r="B7" i="4"/>
  <c r="A7" i="4"/>
  <c r="D9" i="4"/>
  <c r="C9" i="4"/>
  <c r="B9" i="4"/>
  <c r="A9" i="4"/>
  <c r="D6" i="4"/>
  <c r="C6" i="4"/>
  <c r="B6" i="4"/>
  <c r="A6" i="4"/>
  <c r="D5" i="4"/>
  <c r="B5" i="4"/>
  <c r="A5" i="4"/>
  <c r="D8" i="2"/>
  <c r="C8" i="2"/>
  <c r="B8" i="2"/>
  <c r="A8" i="2"/>
  <c r="D4" i="2"/>
  <c r="C4" i="2"/>
  <c r="B4" i="2"/>
  <c r="A4" i="2"/>
  <c r="D6" i="2"/>
  <c r="C6" i="2"/>
  <c r="B6" i="2"/>
  <c r="A6" i="2"/>
  <c r="D5" i="2"/>
  <c r="C5" i="2"/>
  <c r="B5" i="2"/>
  <c r="A5" i="2"/>
</calcChain>
</file>

<file path=xl/sharedStrings.xml><?xml version="1.0" encoding="utf-8"?>
<sst xmlns="http://schemas.openxmlformats.org/spreadsheetml/2006/main" count="216" uniqueCount="33">
  <si>
    <t>PRéNOM</t>
  </si>
  <si>
    <t>NOM</t>
  </si>
  <si>
    <t>DATE DE NAISSANCE</t>
  </si>
  <si>
    <t>CLUB</t>
  </si>
  <si>
    <t>Burpees</t>
  </si>
  <si>
    <t>Gravel</t>
  </si>
  <si>
    <t>Arielle</t>
  </si>
  <si>
    <t>Score final</t>
  </si>
  <si>
    <t>Points</t>
  </si>
  <si>
    <t>Classement</t>
  </si>
  <si>
    <t>Or</t>
  </si>
  <si>
    <t>Bronze</t>
  </si>
  <si>
    <t>Argent</t>
  </si>
  <si>
    <t>NC</t>
  </si>
  <si>
    <t xml:space="preserve">*erreur technique </t>
  </si>
  <si>
    <t>Pompe de judo</t>
  </si>
  <si>
    <t>Chaise au mur</t>
  </si>
  <si>
    <t>Suspension judogi</t>
  </si>
  <si>
    <t>Saut étoile</t>
  </si>
  <si>
    <t>Medaille</t>
  </si>
  <si>
    <t>U14 Masculin</t>
  </si>
  <si>
    <t>U16-U18 Féminin</t>
  </si>
  <si>
    <t>U14 Féminin</t>
  </si>
  <si>
    <t>U16-U18 Masculin</t>
  </si>
  <si>
    <t>U21-Senior Féminin</t>
  </si>
  <si>
    <t>U21-Senior Masculin</t>
  </si>
  <si>
    <t>Vétéran Féminin</t>
  </si>
  <si>
    <t>Top 10 des meilleurs résultats</t>
  </si>
  <si>
    <t>Total : Judo Beauce</t>
  </si>
  <si>
    <t>Total : Académie de Judo de Sept-Iles</t>
  </si>
  <si>
    <t>Meilleur club (10 participants minimum)</t>
  </si>
  <si>
    <t>Meilleur club</t>
  </si>
  <si>
    <t>Vétéran 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</si>
</sst>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3030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3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33" borderId="0" xfId="0" applyFont="1" applyFill="1" applyBorder="1" applyAlignment="1"/>
    <xf numFmtId="0" fontId="16" fillId="33" borderId="0" xfId="0" applyFont="1" applyFill="1"/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33" borderId="0" xfId="0" applyFont="1" applyFill="1" applyAlignment="1"/>
    <xf numFmtId="0" fontId="16" fillId="33" borderId="0" xfId="0" applyFont="1" applyFill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35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36" borderId="29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16" fillId="37" borderId="35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33" borderId="13" xfId="0" applyFont="1" applyFill="1" applyBorder="1" applyAlignment="1"/>
    <xf numFmtId="0" fontId="16" fillId="0" borderId="25" xfId="0" applyFont="1" applyFill="1" applyBorder="1" applyAlignment="1">
      <alignment horizontal="center"/>
    </xf>
    <xf numFmtId="0" fontId="16" fillId="37" borderId="19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 wrapText="1"/>
    </xf>
    <xf numFmtId="0" fontId="16" fillId="35" borderId="1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33" xfId="0" applyFont="1" applyFill="1" applyBorder="1" applyAlignment="1"/>
    <xf numFmtId="0" fontId="16" fillId="33" borderId="32" xfId="0" applyFont="1" applyFill="1" applyBorder="1" applyAlignment="1"/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0" fillId="35" borderId="2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6" fillId="33" borderId="12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/>
    <xf numFmtId="0" fontId="16" fillId="35" borderId="21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33" borderId="0" xfId="0" applyFont="1" applyFill="1" applyAlignment="1">
      <alignment horizontal="left"/>
    </xf>
    <xf numFmtId="0" fontId="16" fillId="37" borderId="23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 wrapText="1"/>
    </xf>
    <xf numFmtId="0" fontId="16" fillId="36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16" fillId="37" borderId="19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0" fillId="38" borderId="0" xfId="0" applyFill="1"/>
    <xf numFmtId="0" fontId="16" fillId="38" borderId="20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38" borderId="32" xfId="0" applyFont="1" applyFill="1" applyBorder="1" applyAlignment="1">
      <alignment horizontal="left"/>
    </xf>
    <xf numFmtId="0" fontId="16" fillId="0" borderId="32" xfId="0" applyFont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wrapText="1"/>
    </xf>
    <xf numFmtId="0" fontId="20" fillId="38" borderId="20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/>
    </xf>
    <xf numFmtId="0" fontId="22" fillId="38" borderId="32" xfId="0" applyFont="1" applyFill="1" applyBorder="1" applyAlignment="1">
      <alignment horizontal="left"/>
    </xf>
    <xf numFmtId="0" fontId="22" fillId="38" borderId="13" xfId="0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37" borderId="38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36" borderId="38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center" vertical="center"/>
    </xf>
    <xf numFmtId="0" fontId="21" fillId="39" borderId="40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16" fillId="39" borderId="32" xfId="0" applyFont="1" applyFill="1" applyBorder="1" applyAlignment="1">
      <alignment horizontal="left"/>
    </xf>
    <xf numFmtId="0" fontId="16" fillId="39" borderId="13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16" fillId="39" borderId="32" xfId="0" applyFont="1" applyFill="1" applyBorder="1" applyAlignment="1">
      <alignment horizontal="left" vertical="center"/>
    </xf>
    <xf numFmtId="0" fontId="16" fillId="39" borderId="36" xfId="0" applyFont="1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left" vertical="center"/>
    </xf>
    <xf numFmtId="0" fontId="25" fillId="38" borderId="14" xfId="0" applyFont="1" applyFill="1" applyBorder="1" applyAlignment="1">
      <alignment horizontal="center"/>
    </xf>
    <xf numFmtId="0" fontId="24" fillId="0" borderId="0" xfId="0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10</xdr:row>
      <xdr:rowOff>28575</xdr:rowOff>
    </xdr:from>
    <xdr:to>
      <xdr:col>8</xdr:col>
      <xdr:colOff>391706</xdr:colOff>
      <xdr:row>23</xdr:row>
      <xdr:rowOff>105131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24100"/>
          <a:ext cx="8459381" cy="255305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11</xdr:row>
      <xdr:rowOff>76200</xdr:rowOff>
    </xdr:from>
    <xdr:to>
      <xdr:col>9</xdr:col>
      <xdr:colOff>277406</xdr:colOff>
      <xdr:row>24</xdr:row>
      <xdr:rowOff>152756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62225"/>
          <a:ext cx="8459381" cy="255305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11</xdr:row>
      <xdr:rowOff>142875</xdr:rowOff>
    </xdr:from>
    <xdr:to>
      <xdr:col>10</xdr:col>
      <xdr:colOff>363123</xdr:colOff>
      <xdr:row>25</xdr:row>
      <xdr:rowOff>114668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628900"/>
          <a:ext cx="8402223" cy="2638793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20</xdr:row>
      <xdr:rowOff>171450</xdr:rowOff>
    </xdr:from>
    <xdr:to>
      <xdr:col>9</xdr:col>
      <xdr:colOff>134523</xdr:colOff>
      <xdr:row>34</xdr:row>
      <xdr:rowOff>143243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371975"/>
          <a:ext cx="8402223" cy="2638793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6</xdr:row>
      <xdr:rowOff>9525</xdr:rowOff>
    </xdr:from>
    <xdr:to>
      <xdr:col>10</xdr:col>
      <xdr:colOff>458374</xdr:colOff>
      <xdr:row>19</xdr:row>
      <xdr:rowOff>86081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43050"/>
          <a:ext cx="8411749" cy="255305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6</xdr:row>
      <xdr:rowOff>123825</xdr:rowOff>
    </xdr:from>
    <xdr:to>
      <xdr:col>10</xdr:col>
      <xdr:colOff>296449</xdr:colOff>
      <xdr:row>20</xdr:row>
      <xdr:rowOff>9881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657350"/>
          <a:ext cx="8411749" cy="2553056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</xdr:row>
      <xdr:rowOff>133350</xdr:rowOff>
    </xdr:from>
    <xdr:to>
      <xdr:col>10</xdr:col>
      <xdr:colOff>686967</xdr:colOff>
      <xdr:row>19</xdr:row>
      <xdr:rowOff>354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476375"/>
          <a:ext cx="8364117" cy="2534004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11</xdr:row>
      <xdr:rowOff>142875</xdr:rowOff>
    </xdr:from>
    <xdr:to>
      <xdr:col>8</xdr:col>
      <xdr:colOff>382167</xdr:colOff>
      <xdr:row>25</xdr:row>
      <xdr:rowOff>9879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628900"/>
          <a:ext cx="8364117" cy="2534004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Q4" sqref="Q4:Q7"/>
    </sheetView>
  </sheetViews>
  <sheetFormatPr baseColWidth="10" defaultRowHeight="15" x14ac:dyDescent="0.25"/>
  <cols>
    <col min="1" max="2" width="11.42578125" style="5"/>
    <col min="3" max="3" width="6.5703125" style="5" customWidth="1"/>
    <col min="4" max="4" width="58.5703125" style="5" customWidth="1"/>
    <col min="5" max="5" width="12.7109375" style="4" customWidth="1"/>
    <col min="6" max="6" width="6" style="4" customWidth="1"/>
    <col min="7" max="7" width="12.5703125" style="4" customWidth="1"/>
    <col min="8" max="8" width="5.85546875" style="4" customWidth="1"/>
    <col min="9" max="9" width="12.85546875" style="4" customWidth="1"/>
    <col min="10" max="10" width="5.85546875" style="4" customWidth="1"/>
    <col min="11" max="11" width="12.5703125" style="4" customWidth="1"/>
    <col min="12" max="12" width="5.85546875" style="4" customWidth="1"/>
    <col min="13" max="13" width="12.28515625" style="4" customWidth="1"/>
    <col min="14" max="14" width="5.7109375" style="4" customWidth="1"/>
    <col min="15" max="15" width="9" style="4" customWidth="1"/>
    <col min="16" max="16" width="13.7109375" style="4" customWidth="1"/>
    <col min="17" max="17" width="11.140625" customWidth="1"/>
  </cols>
  <sheetData>
    <row r="1" spans="1:17" s="4" customFormat="1" ht="44.25" customHeight="1" x14ac:dyDescent="0.25">
      <c r="A1" s="153" t="s">
        <v>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45" customFormat="1" x14ac:dyDescent="0.25">
      <c r="E2" s="124" t="s">
        <v>4</v>
      </c>
      <c r="F2" s="123"/>
      <c r="G2" s="124" t="s">
        <v>15</v>
      </c>
      <c r="H2" s="123"/>
      <c r="I2" s="124" t="s">
        <v>16</v>
      </c>
      <c r="J2" s="123"/>
      <c r="K2" s="124" t="s">
        <v>17</v>
      </c>
      <c r="L2" s="123"/>
      <c r="M2" s="124" t="s">
        <v>18</v>
      </c>
      <c r="N2" s="123"/>
      <c r="O2" s="28"/>
      <c r="P2" s="28"/>
      <c r="Q2" s="28"/>
    </row>
    <row r="3" spans="1:17" s="45" customFormat="1" ht="15.75" thickBot="1" x14ac:dyDescent="0.3">
      <c r="A3" s="127" t="s">
        <v>0</v>
      </c>
      <c r="B3" s="45" t="s">
        <v>1</v>
      </c>
      <c r="C3" s="45" t="s">
        <v>2</v>
      </c>
      <c r="D3" s="45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28"/>
      <c r="O3" s="125" t="s">
        <v>8</v>
      </c>
      <c r="P3" s="125" t="s">
        <v>9</v>
      </c>
      <c r="Q3" s="125" t="s">
        <v>19</v>
      </c>
    </row>
    <row r="4" spans="1:17" s="5" customFormat="1" x14ac:dyDescent="0.25">
      <c r="A4" s="84" t="str">
        <f>"Leah"</f>
        <v>Leah</v>
      </c>
      <c r="B4" s="84" t="str">
        <f>"Michaud"</f>
        <v>Michaud</v>
      </c>
      <c r="C4" s="2" t="str">
        <f>"2008"</f>
        <v>2008</v>
      </c>
      <c r="D4" s="84" t="str">
        <f>"C356 Judo Beauce"</f>
        <v>C356 Judo Beauce</v>
      </c>
      <c r="E4" s="19">
        <v>34</v>
      </c>
      <c r="F4" s="142">
        <v>1</v>
      </c>
      <c r="G4" s="100">
        <v>32</v>
      </c>
      <c r="H4" s="142">
        <v>2</v>
      </c>
      <c r="I4" s="21">
        <v>541</v>
      </c>
      <c r="J4" s="142">
        <v>1</v>
      </c>
      <c r="K4" s="102">
        <v>46</v>
      </c>
      <c r="L4" s="142">
        <v>1</v>
      </c>
      <c r="M4" s="21">
        <v>54</v>
      </c>
      <c r="N4" s="142">
        <v>1</v>
      </c>
      <c r="O4" s="94">
        <v>6</v>
      </c>
      <c r="P4" s="32">
        <v>1</v>
      </c>
      <c r="Q4" s="95" t="s">
        <v>10</v>
      </c>
    </row>
    <row r="5" spans="1:17" s="5" customFormat="1" x14ac:dyDescent="0.25">
      <c r="A5" s="84" t="str">
        <f>"Melody"</f>
        <v>Melody</v>
      </c>
      <c r="B5" s="84" t="str">
        <f>"Grenier"</f>
        <v>Grenier</v>
      </c>
      <c r="C5" s="2" t="str">
        <f>"2008"</f>
        <v>2008</v>
      </c>
      <c r="D5" s="84" t="str">
        <f>"C004 Club de Judo d'Asbestos-Danville"</f>
        <v>C004 Club de Judo d'Asbestos-Danville</v>
      </c>
      <c r="E5" s="19">
        <v>33</v>
      </c>
      <c r="F5" s="143">
        <v>2</v>
      </c>
      <c r="G5" s="51">
        <v>35</v>
      </c>
      <c r="H5" s="143">
        <v>1</v>
      </c>
      <c r="I5" s="20">
        <v>480</v>
      </c>
      <c r="J5" s="143">
        <v>4</v>
      </c>
      <c r="K5" s="51">
        <v>33</v>
      </c>
      <c r="L5" s="143">
        <v>2</v>
      </c>
      <c r="M5" s="21">
        <v>46</v>
      </c>
      <c r="N5" s="143">
        <v>3</v>
      </c>
      <c r="O5" s="47">
        <v>12</v>
      </c>
      <c r="P5" s="33">
        <v>2</v>
      </c>
      <c r="Q5" s="96" t="s">
        <v>10</v>
      </c>
    </row>
    <row r="6" spans="1:17" s="5" customFormat="1" x14ac:dyDescent="0.25">
      <c r="A6" s="84" t="str">
        <f>"Madison"</f>
        <v>Madison</v>
      </c>
      <c r="B6" s="84" t="str">
        <f>"Duchesne"</f>
        <v>Duchesne</v>
      </c>
      <c r="C6" s="2" t="str">
        <f>"2009"</f>
        <v>2009</v>
      </c>
      <c r="D6" s="84" t="str">
        <f>"C055 Académie de Judo de Sept-Iles Inc."</f>
        <v>C055 Académie de Judo de Sept-Iles Inc.</v>
      </c>
      <c r="E6" s="19">
        <v>25</v>
      </c>
      <c r="F6" s="144">
        <v>3</v>
      </c>
      <c r="G6" s="101">
        <v>30</v>
      </c>
      <c r="H6" s="144">
        <v>3</v>
      </c>
      <c r="I6" s="21">
        <v>494</v>
      </c>
      <c r="J6" s="144">
        <v>2</v>
      </c>
      <c r="K6" s="51">
        <v>27</v>
      </c>
      <c r="L6" s="144">
        <v>3</v>
      </c>
      <c r="M6" s="21">
        <v>51</v>
      </c>
      <c r="N6" s="144">
        <v>2</v>
      </c>
      <c r="O6" s="47">
        <v>13</v>
      </c>
      <c r="P6" s="33">
        <v>3</v>
      </c>
      <c r="Q6" s="96" t="s">
        <v>10</v>
      </c>
    </row>
    <row r="7" spans="1:17" s="5" customFormat="1" x14ac:dyDescent="0.25">
      <c r="A7" s="81" t="s">
        <v>6</v>
      </c>
      <c r="B7" s="84" t="s">
        <v>5</v>
      </c>
      <c r="C7" s="2">
        <v>2009</v>
      </c>
      <c r="D7" s="84" t="str">
        <f>"C055 Académie de Judo de Sept-Iles Inc."</f>
        <v>C055 Académie de Judo de Sept-Iles Inc.</v>
      </c>
      <c r="E7" s="19">
        <v>24</v>
      </c>
      <c r="F7" s="144">
        <v>4</v>
      </c>
      <c r="G7" s="48">
        <v>22</v>
      </c>
      <c r="H7" s="144">
        <v>5</v>
      </c>
      <c r="I7" s="19">
        <v>490</v>
      </c>
      <c r="J7" s="144">
        <v>3</v>
      </c>
      <c r="K7" s="103">
        <v>15</v>
      </c>
      <c r="L7" s="144">
        <v>4</v>
      </c>
      <c r="M7" s="19">
        <v>41</v>
      </c>
      <c r="N7" s="144">
        <v>4</v>
      </c>
      <c r="O7" s="47">
        <v>20</v>
      </c>
      <c r="P7" s="33">
        <v>4</v>
      </c>
      <c r="Q7" s="96" t="s">
        <v>10</v>
      </c>
    </row>
    <row r="8" spans="1:17" ht="15.75" thickBot="1" x14ac:dyDescent="0.3">
      <c r="A8" s="84" t="str">
        <f>"Sandrine"</f>
        <v>Sandrine</v>
      </c>
      <c r="B8" s="84" t="str">
        <f>"Dufour-Joly"</f>
        <v>Dufour-Joly</v>
      </c>
      <c r="C8" s="2" t="str">
        <f>"2008"</f>
        <v>2008</v>
      </c>
      <c r="D8" s="84" t="str">
        <f>"C378 École d'arts martiaux et d'autodéfense Chikara de Chelsea"</f>
        <v>C378 École d'arts martiaux et d'autodéfense Chikara de Chelsea</v>
      </c>
      <c r="E8" s="92">
        <v>14</v>
      </c>
      <c r="F8" s="145">
        <v>5</v>
      </c>
      <c r="G8" s="49">
        <v>23</v>
      </c>
      <c r="H8" s="145">
        <v>4</v>
      </c>
      <c r="I8" s="58">
        <v>65</v>
      </c>
      <c r="J8" s="145">
        <v>5</v>
      </c>
      <c r="K8" s="49">
        <v>10</v>
      </c>
      <c r="L8" s="145">
        <v>5</v>
      </c>
      <c r="M8" s="93">
        <v>36</v>
      </c>
      <c r="N8" s="145">
        <v>5</v>
      </c>
      <c r="O8" s="57">
        <v>24</v>
      </c>
      <c r="P8" s="34">
        <v>5</v>
      </c>
      <c r="Q8" s="97" t="s">
        <v>13</v>
      </c>
    </row>
    <row r="9" spans="1:17" x14ac:dyDescent="0.25">
      <c r="O9" s="11"/>
      <c r="P9" s="11"/>
    </row>
  </sheetData>
  <autoFilter ref="A3:Q8">
    <sortState ref="A3:S7">
      <sortCondition ref="O2:O7"/>
    </sortState>
  </autoFilter>
  <mergeCells count="1">
    <mergeCell ref="A1:Q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Q4" sqref="Q4:Q9"/>
    </sheetView>
  </sheetViews>
  <sheetFormatPr baseColWidth="10" defaultRowHeight="15" x14ac:dyDescent="0.25"/>
  <cols>
    <col min="1" max="1" width="13.28515625" style="5" customWidth="1"/>
    <col min="2" max="2" width="17" style="5" customWidth="1"/>
    <col min="3" max="3" width="6.7109375" style="5" customWidth="1"/>
    <col min="4" max="4" width="40.5703125" style="5" customWidth="1"/>
    <col min="5" max="5" width="13.140625" style="14" customWidth="1"/>
    <col min="6" max="6" width="6.140625" style="14" customWidth="1"/>
    <col min="7" max="7" width="12.85546875" style="14" customWidth="1"/>
    <col min="8" max="8" width="5.7109375" style="14" customWidth="1"/>
    <col min="9" max="9" width="12.5703125" style="5" customWidth="1"/>
    <col min="10" max="10" width="6.140625" style="5" customWidth="1"/>
    <col min="11" max="11" width="12.28515625" style="5" customWidth="1"/>
    <col min="12" max="12" width="6.140625" style="5" customWidth="1"/>
    <col min="13" max="13" width="12.5703125" style="14" customWidth="1"/>
    <col min="14" max="14" width="6.28515625" style="14" customWidth="1"/>
    <col min="15" max="15" width="9.140625" style="14" customWidth="1"/>
    <col min="16" max="16" width="13.28515625" style="14" customWidth="1"/>
    <col min="17" max="17" width="9.85546875" style="1" customWidth="1"/>
  </cols>
  <sheetData>
    <row r="1" spans="1:17" s="4" customFormat="1" ht="44.25" customHeight="1" x14ac:dyDescent="0.25">
      <c r="A1" s="148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41" customFormat="1" x14ac:dyDescent="0.25">
      <c r="A2" s="45"/>
      <c r="B2" s="45"/>
      <c r="C2" s="45"/>
      <c r="D2" s="45"/>
      <c r="E2" s="124" t="s">
        <v>4</v>
      </c>
      <c r="F2" s="123"/>
      <c r="G2" s="124" t="s">
        <v>15</v>
      </c>
      <c r="H2" s="123"/>
      <c r="I2" s="124" t="s">
        <v>16</v>
      </c>
      <c r="J2" s="123"/>
      <c r="K2" s="124" t="s">
        <v>17</v>
      </c>
      <c r="L2" s="123"/>
      <c r="M2" s="124" t="s">
        <v>18</v>
      </c>
      <c r="N2" s="123"/>
      <c r="O2" s="28"/>
      <c r="P2" s="28"/>
      <c r="Q2" s="28"/>
    </row>
    <row r="3" spans="1:17" s="41" customFormat="1" ht="15.75" thickBot="1" x14ac:dyDescent="0.3">
      <c r="A3" s="45" t="s">
        <v>0</v>
      </c>
      <c r="B3" s="45" t="s">
        <v>1</v>
      </c>
      <c r="C3" s="45" t="s">
        <v>2</v>
      </c>
      <c r="D3" s="45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5" t="s">
        <v>8</v>
      </c>
      <c r="P3" s="125" t="s">
        <v>9</v>
      </c>
      <c r="Q3" s="125" t="s">
        <v>19</v>
      </c>
    </row>
    <row r="4" spans="1:17" x14ac:dyDescent="0.25">
      <c r="A4" s="84" t="str">
        <f>"William"</f>
        <v>William</v>
      </c>
      <c r="B4" s="84" t="str">
        <f>"Maheux"</f>
        <v>Maheux</v>
      </c>
      <c r="C4" s="2" t="str">
        <f>"2008"</f>
        <v>2008</v>
      </c>
      <c r="D4" s="84" t="str">
        <f>"C356 Judo Beauce"</f>
        <v>C356 Judo Beauce</v>
      </c>
      <c r="E4" s="19">
        <v>35</v>
      </c>
      <c r="F4" s="140">
        <v>1</v>
      </c>
      <c r="G4" s="160">
        <v>35</v>
      </c>
      <c r="H4" s="142">
        <v>2</v>
      </c>
      <c r="I4" s="19">
        <v>1320</v>
      </c>
      <c r="J4" s="142">
        <v>1</v>
      </c>
      <c r="K4" s="102">
        <v>64</v>
      </c>
      <c r="L4" s="142">
        <v>1</v>
      </c>
      <c r="M4" s="19">
        <v>52</v>
      </c>
      <c r="N4" s="142">
        <v>2</v>
      </c>
      <c r="O4" s="130">
        <f>SUM(F4+H4+J4+L4+N4)</f>
        <v>7</v>
      </c>
      <c r="P4" s="37">
        <v>1</v>
      </c>
      <c r="Q4" s="77" t="s">
        <v>10</v>
      </c>
    </row>
    <row r="5" spans="1:17" x14ac:dyDescent="0.25">
      <c r="A5" s="84" t="str">
        <f>"Liam"</f>
        <v>Liam</v>
      </c>
      <c r="B5" s="84" t="str">
        <f>"Cantin"</f>
        <v>Cantin</v>
      </c>
      <c r="C5" s="2" t="str">
        <f>"2009"</f>
        <v>2009</v>
      </c>
      <c r="D5" s="84" t="str">
        <f>"C055 Académie de Judo de Sept-Iles Inc."</f>
        <v>C055 Académie de Judo de Sept-Iles Inc.</v>
      </c>
      <c r="E5" s="19">
        <v>30</v>
      </c>
      <c r="F5" s="141">
        <v>3</v>
      </c>
      <c r="G5" s="104">
        <v>28</v>
      </c>
      <c r="H5" s="143">
        <v>4</v>
      </c>
      <c r="I5" s="19">
        <v>720</v>
      </c>
      <c r="J5" s="143">
        <v>2</v>
      </c>
      <c r="K5" s="101">
        <v>31</v>
      </c>
      <c r="L5" s="144">
        <v>5</v>
      </c>
      <c r="M5" s="19">
        <v>59</v>
      </c>
      <c r="N5" s="143">
        <v>1</v>
      </c>
      <c r="O5" s="131">
        <f>SUM(F5+H5+J5+L5+N5)</f>
        <v>15</v>
      </c>
      <c r="P5" s="38">
        <v>2</v>
      </c>
      <c r="Q5" s="54" t="s">
        <v>10</v>
      </c>
    </row>
    <row r="6" spans="1:17" x14ac:dyDescent="0.25">
      <c r="A6" s="84" t="str">
        <f>"Charles"</f>
        <v>Charles</v>
      </c>
      <c r="B6" s="84" t="str">
        <f>"Grenier"</f>
        <v>Grenier</v>
      </c>
      <c r="C6" s="2" t="str">
        <f>"2010"</f>
        <v>2010</v>
      </c>
      <c r="D6" s="83" t="str">
        <f>"C004 Club de Judo d'Asbestos-Danville"</f>
        <v>C004 Club de Judo d'Asbestos-Danville</v>
      </c>
      <c r="E6" s="21">
        <v>29</v>
      </c>
      <c r="F6" s="140">
        <v>4</v>
      </c>
      <c r="G6" s="103">
        <v>38</v>
      </c>
      <c r="H6" s="144">
        <v>1</v>
      </c>
      <c r="I6" s="21">
        <v>251</v>
      </c>
      <c r="J6" s="144">
        <v>5</v>
      </c>
      <c r="K6" s="51">
        <v>55</v>
      </c>
      <c r="L6" s="144">
        <v>2</v>
      </c>
      <c r="M6" s="21">
        <v>51</v>
      </c>
      <c r="N6" s="144">
        <v>4</v>
      </c>
      <c r="O6" s="131">
        <f>SUM(F6+H6+J6+L6+N6)</f>
        <v>16</v>
      </c>
      <c r="P6" s="38">
        <v>3</v>
      </c>
      <c r="Q6" s="54" t="s">
        <v>10</v>
      </c>
    </row>
    <row r="7" spans="1:17" x14ac:dyDescent="0.25">
      <c r="A7" s="84" t="str">
        <f>"Felix-Antoine"</f>
        <v>Felix-Antoine</v>
      </c>
      <c r="B7" s="84" t="str">
        <f>"Veilleux"</f>
        <v>Veilleux</v>
      </c>
      <c r="C7" s="2" t="str">
        <f>"2008"</f>
        <v>2008</v>
      </c>
      <c r="D7" s="84" t="str">
        <f>"C356 Judo Beauce"</f>
        <v>C356 Judo Beauce</v>
      </c>
      <c r="E7" s="19">
        <v>32</v>
      </c>
      <c r="F7" s="140">
        <v>2</v>
      </c>
      <c r="G7" s="48">
        <v>27</v>
      </c>
      <c r="H7" s="144">
        <v>5</v>
      </c>
      <c r="I7" s="21">
        <v>243</v>
      </c>
      <c r="J7" s="144">
        <v>6</v>
      </c>
      <c r="K7" s="101">
        <v>33</v>
      </c>
      <c r="L7" s="144">
        <v>4</v>
      </c>
      <c r="M7" s="19">
        <v>48</v>
      </c>
      <c r="N7" s="144">
        <v>5</v>
      </c>
      <c r="O7" s="131">
        <f>SUM(F7+H7+J7+L7+N7)</f>
        <v>22</v>
      </c>
      <c r="P7" s="38">
        <v>4</v>
      </c>
      <c r="Q7" s="54" t="s">
        <v>10</v>
      </c>
    </row>
    <row r="8" spans="1:17" x14ac:dyDescent="0.25">
      <c r="A8" s="84" t="str">
        <f>"Massil"</f>
        <v>Massil</v>
      </c>
      <c r="B8" s="84" t="str">
        <f>"Cisca-Zerrougoi"</f>
        <v>Cisca-Zerrougoi</v>
      </c>
      <c r="C8" s="2" t="str">
        <f>"2009"</f>
        <v>2009</v>
      </c>
      <c r="D8" s="84" t="str">
        <f>"C055 Académie de Judo de Sept-Iles Inc."</f>
        <v>C055 Académie de Judo de Sept-Iles Inc.</v>
      </c>
      <c r="E8" s="19">
        <v>28</v>
      </c>
      <c r="F8" s="140">
        <v>5</v>
      </c>
      <c r="G8" s="104">
        <v>26</v>
      </c>
      <c r="H8" s="144">
        <v>6</v>
      </c>
      <c r="I8" s="21">
        <v>303</v>
      </c>
      <c r="J8" s="144">
        <v>4</v>
      </c>
      <c r="K8" s="51">
        <v>47</v>
      </c>
      <c r="L8" s="144">
        <v>3</v>
      </c>
      <c r="M8" s="21">
        <v>47</v>
      </c>
      <c r="N8" s="144">
        <v>6</v>
      </c>
      <c r="O8" s="131">
        <f>SUM(F8+H8+J8+L8+N8)</f>
        <v>24</v>
      </c>
      <c r="P8" s="38">
        <v>5</v>
      </c>
      <c r="Q8" s="54" t="s">
        <v>10</v>
      </c>
    </row>
    <row r="9" spans="1:17" x14ac:dyDescent="0.25">
      <c r="A9" s="84" t="str">
        <f>"Olivier"</f>
        <v>Olivier</v>
      </c>
      <c r="B9" s="84" t="str">
        <f>"Rodgers"</f>
        <v>Rodgers</v>
      </c>
      <c r="C9" s="2" t="str">
        <f>"2009"</f>
        <v>2009</v>
      </c>
      <c r="D9" s="84" t="str">
        <f>"C055 Académie de Judo de Sept-Iles Inc."</f>
        <v>C055 Académie de Judo de Sept-Iles Inc.</v>
      </c>
      <c r="E9" s="19">
        <v>27</v>
      </c>
      <c r="F9" s="140">
        <v>6</v>
      </c>
      <c r="G9" s="104">
        <v>33</v>
      </c>
      <c r="H9" s="144">
        <v>3</v>
      </c>
      <c r="I9" s="19">
        <v>503</v>
      </c>
      <c r="J9" s="144">
        <v>3</v>
      </c>
      <c r="K9" s="101">
        <v>30</v>
      </c>
      <c r="L9" s="144">
        <v>6</v>
      </c>
      <c r="M9" s="19">
        <v>44</v>
      </c>
      <c r="N9" s="144">
        <v>7</v>
      </c>
      <c r="O9" s="131">
        <f>SUM(F9+H9+J9+L9+N9)</f>
        <v>25</v>
      </c>
      <c r="P9" s="38">
        <v>6</v>
      </c>
      <c r="Q9" s="54" t="s">
        <v>10</v>
      </c>
    </row>
    <row r="10" spans="1:17" ht="15.75" thickBot="1" x14ac:dyDescent="0.3">
      <c r="A10" s="84" t="str">
        <f>"Charles"</f>
        <v>Charles</v>
      </c>
      <c r="B10" s="84" t="str">
        <f>"Deschenes-Heon"</f>
        <v>Deschenes-Heon</v>
      </c>
      <c r="C10" s="2" t="str">
        <f>"2009"</f>
        <v>2009</v>
      </c>
      <c r="D10" s="84" t="str">
        <f>"C055 Académie de Judo de Sept-Iles Inc."</f>
        <v>C055 Académie de Judo de Sept-Iles Inc.</v>
      </c>
      <c r="E10" s="156">
        <v>26</v>
      </c>
      <c r="F10" s="134">
        <v>7</v>
      </c>
      <c r="G10" s="105">
        <v>26</v>
      </c>
      <c r="H10" s="137">
        <v>7</v>
      </c>
      <c r="I10" s="78">
        <v>185</v>
      </c>
      <c r="J10" s="145">
        <v>7</v>
      </c>
      <c r="K10" s="105">
        <v>24</v>
      </c>
      <c r="L10" s="137">
        <v>7</v>
      </c>
      <c r="M10" s="66">
        <v>52</v>
      </c>
      <c r="N10" s="137">
        <v>3</v>
      </c>
      <c r="O10" s="132">
        <f>SUM(F10+H10+J10+L10+N10)</f>
        <v>31</v>
      </c>
      <c r="P10" s="39">
        <v>7</v>
      </c>
      <c r="Q10" s="56" t="s">
        <v>11</v>
      </c>
    </row>
    <row r="11" spans="1:17" x14ac:dyDescent="0.25">
      <c r="E11" s="13"/>
      <c r="F11" s="13"/>
    </row>
    <row r="15" spans="1:17" x14ac:dyDescent="0.25">
      <c r="D15" s="42"/>
    </row>
    <row r="16" spans="1:17" x14ac:dyDescent="0.25">
      <c r="D16" s="1"/>
    </row>
  </sheetData>
  <autoFilter ref="A3:Q10">
    <sortState ref="A4:Q10">
      <sortCondition ref="P3:P10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4" sqref="A4:P10"/>
    </sheetView>
  </sheetViews>
  <sheetFormatPr baseColWidth="10" defaultRowHeight="15" x14ac:dyDescent="0.25"/>
  <cols>
    <col min="1" max="1" width="12.5703125" style="1" customWidth="1"/>
    <col min="2" max="2" width="11.42578125" style="1"/>
    <col min="3" max="3" width="6.5703125" style="1" customWidth="1"/>
    <col min="4" max="4" width="37.5703125" style="1" customWidth="1"/>
    <col min="5" max="5" width="12.5703125" style="1" customWidth="1"/>
    <col min="6" max="6" width="6.140625" style="1" customWidth="1"/>
    <col min="7" max="7" width="13.140625" style="1" customWidth="1"/>
    <col min="8" max="8" width="6.140625" style="1" customWidth="1"/>
    <col min="9" max="9" width="12.5703125" style="1" customWidth="1"/>
    <col min="10" max="10" width="6" style="1" customWidth="1"/>
    <col min="11" max="11" width="13" style="1" customWidth="1"/>
    <col min="12" max="12" width="6" style="1" customWidth="1"/>
    <col min="13" max="13" width="12.7109375" style="1" customWidth="1"/>
    <col min="14" max="14" width="6.5703125" style="1" customWidth="1"/>
    <col min="15" max="15" width="8.85546875" style="1" customWidth="1"/>
    <col min="16" max="16" width="13.28515625" style="1" customWidth="1"/>
    <col min="17" max="17" width="9.42578125" style="1" customWidth="1"/>
  </cols>
  <sheetData>
    <row r="1" spans="1:19" s="4" customFormat="1" ht="44.25" customHeight="1" x14ac:dyDescent="0.25">
      <c r="A1" s="148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9" s="41" customFormat="1" x14ac:dyDescent="0.25">
      <c r="A2" s="29"/>
      <c r="B2" s="29"/>
      <c r="C2" s="29"/>
      <c r="D2" s="29"/>
      <c r="E2" s="124" t="s">
        <v>4</v>
      </c>
      <c r="F2" s="123"/>
      <c r="G2" s="124" t="s">
        <v>15</v>
      </c>
      <c r="H2" s="123"/>
      <c r="I2" s="124" t="s">
        <v>16</v>
      </c>
      <c r="J2" s="123"/>
      <c r="K2" s="124" t="s">
        <v>17</v>
      </c>
      <c r="L2" s="123"/>
      <c r="M2" s="124" t="s">
        <v>18</v>
      </c>
      <c r="N2" s="123"/>
      <c r="O2" s="28"/>
      <c r="P2" s="28"/>
      <c r="Q2" s="28"/>
    </row>
    <row r="3" spans="1:19" s="41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5" t="s">
        <v>8</v>
      </c>
      <c r="P3" s="125" t="s">
        <v>9</v>
      </c>
      <c r="Q3" s="125" t="s">
        <v>19</v>
      </c>
      <c r="R3" s="44"/>
      <c r="S3" s="44"/>
    </row>
    <row r="4" spans="1:19" x14ac:dyDescent="0.25">
      <c r="A4" s="81" t="str">
        <f>"Charline"</f>
        <v>Charline</v>
      </c>
      <c r="B4" s="81" t="str">
        <f>"Bourque"</f>
        <v>Bourque</v>
      </c>
      <c r="C4" s="63" t="str">
        <f>"2007"</f>
        <v>2007</v>
      </c>
      <c r="D4" s="81" t="str">
        <f>"C356 Judo Beauce"</f>
        <v>C356 Judo Beauce</v>
      </c>
      <c r="E4" s="163">
        <v>34</v>
      </c>
      <c r="F4" s="140">
        <v>2</v>
      </c>
      <c r="G4" s="165">
        <v>34</v>
      </c>
      <c r="H4" s="142">
        <v>4</v>
      </c>
      <c r="I4" s="31">
        <v>4560</v>
      </c>
      <c r="J4" s="142">
        <v>1</v>
      </c>
      <c r="K4" s="107">
        <v>53</v>
      </c>
      <c r="L4" s="142">
        <v>1</v>
      </c>
      <c r="M4" s="22">
        <v>57</v>
      </c>
      <c r="N4" s="142">
        <v>2</v>
      </c>
      <c r="O4" s="130">
        <f>SUM(F4+H4+J4+L4+N4)</f>
        <v>10</v>
      </c>
      <c r="P4" s="35">
        <v>1</v>
      </c>
      <c r="Q4" s="77" t="s">
        <v>10</v>
      </c>
    </row>
    <row r="5" spans="1:19" x14ac:dyDescent="0.25">
      <c r="A5" s="81" t="str">
        <f>"Leanne"</f>
        <v>Leanne</v>
      </c>
      <c r="B5" s="81" t="str">
        <f>"Dussault"</f>
        <v>Dussault</v>
      </c>
      <c r="C5" s="63" t="str">
        <f>"2006"</f>
        <v>2006</v>
      </c>
      <c r="D5" s="81" t="str">
        <f>"C004 Club de Judo d'Asbestos-Danville"</f>
        <v>C004 Club de Judo d'Asbestos-Danville</v>
      </c>
      <c r="E5" s="59">
        <v>34</v>
      </c>
      <c r="F5" s="141">
        <v>2</v>
      </c>
      <c r="G5" s="106">
        <v>35</v>
      </c>
      <c r="H5" s="143">
        <v>2</v>
      </c>
      <c r="I5" s="22">
        <v>600</v>
      </c>
      <c r="J5" s="143">
        <v>3</v>
      </c>
      <c r="K5" s="106">
        <v>45</v>
      </c>
      <c r="L5" s="144">
        <v>2</v>
      </c>
      <c r="M5" s="22">
        <v>57</v>
      </c>
      <c r="N5" s="143">
        <v>2</v>
      </c>
      <c r="O5" s="131">
        <f>SUM(F5+H5+J5+L5+N5)</f>
        <v>11</v>
      </c>
      <c r="P5" s="36">
        <v>2</v>
      </c>
      <c r="Q5" s="54" t="s">
        <v>10</v>
      </c>
    </row>
    <row r="6" spans="1:19" x14ac:dyDescent="0.25">
      <c r="A6" s="81" t="str">
        <f>"Sara-Anne"</f>
        <v>Sara-Anne</v>
      </c>
      <c r="B6" s="81" t="str">
        <f>"Beaudin"</f>
        <v>Beaudin</v>
      </c>
      <c r="C6" s="63" t="str">
        <f>"2007"</f>
        <v>2007</v>
      </c>
      <c r="D6" s="81" t="str">
        <f>"C055 Académie de Judo de Sept-Iles Inc."</f>
        <v>C055 Académie de Judo de Sept-Iles Inc.</v>
      </c>
      <c r="E6" s="60">
        <v>29</v>
      </c>
      <c r="F6" s="140">
        <v>6</v>
      </c>
      <c r="G6" s="106">
        <v>44</v>
      </c>
      <c r="H6" s="144">
        <v>1</v>
      </c>
      <c r="I6" s="22">
        <v>1800</v>
      </c>
      <c r="J6" s="144">
        <v>2</v>
      </c>
      <c r="K6" s="106">
        <v>42</v>
      </c>
      <c r="L6" s="144">
        <v>3</v>
      </c>
      <c r="M6" s="22">
        <v>58</v>
      </c>
      <c r="N6" s="144">
        <v>1</v>
      </c>
      <c r="O6" s="131">
        <f>SUM(F6+H6+J6+L6+N6)</f>
        <v>13</v>
      </c>
      <c r="P6" s="36">
        <v>3</v>
      </c>
      <c r="Q6" s="54" t="s">
        <v>10</v>
      </c>
    </row>
    <row r="7" spans="1:19" x14ac:dyDescent="0.25">
      <c r="A7" s="81" t="str">
        <f>"Frederique"</f>
        <v>Frederique</v>
      </c>
      <c r="B7" s="81" t="str">
        <f>"Lavigne"</f>
        <v>Lavigne</v>
      </c>
      <c r="C7" s="63" t="str">
        <f>"2006"</f>
        <v>2006</v>
      </c>
      <c r="D7" s="81" t="str">
        <f>"C058 Club de judo Métropolitain inc."</f>
        <v>C058 Club de judo Métropolitain inc.</v>
      </c>
      <c r="E7" s="61">
        <v>30</v>
      </c>
      <c r="F7" s="140">
        <v>5</v>
      </c>
      <c r="G7" s="106">
        <v>35</v>
      </c>
      <c r="H7" s="144">
        <v>2</v>
      </c>
      <c r="I7" s="18">
        <v>170</v>
      </c>
      <c r="J7" s="144">
        <v>5</v>
      </c>
      <c r="K7" s="108">
        <v>20</v>
      </c>
      <c r="L7" s="144">
        <v>5</v>
      </c>
      <c r="M7" s="22">
        <v>46</v>
      </c>
      <c r="N7" s="144">
        <v>7</v>
      </c>
      <c r="O7" s="131">
        <f>SUM(F7+H7+J7+L7+N7)</f>
        <v>24</v>
      </c>
      <c r="P7" s="36">
        <v>4</v>
      </c>
      <c r="Q7" s="54" t="s">
        <v>10</v>
      </c>
    </row>
    <row r="8" spans="1:19" x14ac:dyDescent="0.25">
      <c r="A8" s="83" t="str">
        <f>"Marie-Joelle"</f>
        <v>Marie-Joelle</v>
      </c>
      <c r="B8" s="83" t="str">
        <f>"Fortin"</f>
        <v>Fortin</v>
      </c>
      <c r="C8" s="64" t="str">
        <f>"2006"</f>
        <v>2006</v>
      </c>
      <c r="D8" s="83" t="str">
        <f>"C294 Club de judo Baie-Comeau"</f>
        <v>C294 Club de judo Baie-Comeau</v>
      </c>
      <c r="E8" s="61">
        <v>35</v>
      </c>
      <c r="F8" s="140">
        <v>1</v>
      </c>
      <c r="G8" s="74">
        <v>21</v>
      </c>
      <c r="H8" s="144">
        <v>7</v>
      </c>
      <c r="I8" s="18">
        <v>138</v>
      </c>
      <c r="J8" s="144">
        <v>6</v>
      </c>
      <c r="K8" s="109">
        <v>15</v>
      </c>
      <c r="L8" s="144">
        <v>6</v>
      </c>
      <c r="M8" s="22">
        <v>49</v>
      </c>
      <c r="N8" s="144">
        <v>4</v>
      </c>
      <c r="O8" s="131">
        <f>SUM(F8+H8+J8+L8+N8)</f>
        <v>24</v>
      </c>
      <c r="P8" s="36">
        <v>5</v>
      </c>
      <c r="Q8" s="54" t="s">
        <v>11</v>
      </c>
    </row>
    <row r="9" spans="1:19" s="11" customFormat="1" x14ac:dyDescent="0.25">
      <c r="A9" s="81" t="str">
        <f>"Florence"</f>
        <v>Florence</v>
      </c>
      <c r="B9" s="81" t="str">
        <f>"Ward"</f>
        <v>Ward</v>
      </c>
      <c r="C9" s="63" t="str">
        <f>"2007"</f>
        <v>2007</v>
      </c>
      <c r="D9" s="81" t="str">
        <f>"C055 Académie de Judo de Sept-Iles Inc."</f>
        <v>C055 Académie de Judo de Sept-Iles Inc.</v>
      </c>
      <c r="E9" s="62">
        <v>22</v>
      </c>
      <c r="F9" s="140">
        <v>7</v>
      </c>
      <c r="G9" s="50">
        <v>23</v>
      </c>
      <c r="H9" s="144">
        <v>6</v>
      </c>
      <c r="I9" s="24">
        <v>223</v>
      </c>
      <c r="J9" s="144">
        <v>4</v>
      </c>
      <c r="K9" s="106">
        <v>34</v>
      </c>
      <c r="L9" s="144">
        <v>4</v>
      </c>
      <c r="M9" s="22">
        <v>49</v>
      </c>
      <c r="N9" s="144">
        <v>4</v>
      </c>
      <c r="O9" s="131">
        <f>SUM(F9+H9+J9+L9+N9)</f>
        <v>25</v>
      </c>
      <c r="P9" s="36">
        <v>6</v>
      </c>
      <c r="Q9" s="54" t="s">
        <v>12</v>
      </c>
    </row>
    <row r="10" spans="1:19" ht="15.75" thickBot="1" x14ac:dyDescent="0.3">
      <c r="A10" s="81" t="str">
        <f>"Maika"</f>
        <v>Maika</v>
      </c>
      <c r="B10" s="81" t="str">
        <f>"Perron"</f>
        <v>Perron</v>
      </c>
      <c r="C10" s="63" t="str">
        <f>"2007"</f>
        <v>2007</v>
      </c>
      <c r="D10" s="81" t="str">
        <f>"C279 Judo Blainville"</f>
        <v>C279 Judo Blainville</v>
      </c>
      <c r="E10" s="164">
        <v>32</v>
      </c>
      <c r="F10" s="134">
        <v>4</v>
      </c>
      <c r="G10" s="166">
        <v>26</v>
      </c>
      <c r="H10" s="137">
        <v>5</v>
      </c>
      <c r="I10" s="65">
        <v>120</v>
      </c>
      <c r="J10" s="145">
        <v>7</v>
      </c>
      <c r="K10" s="49">
        <v>0</v>
      </c>
      <c r="L10" s="137">
        <v>7</v>
      </c>
      <c r="M10" s="66">
        <v>49</v>
      </c>
      <c r="N10" s="137">
        <v>4</v>
      </c>
      <c r="O10" s="132">
        <f>SUM(F10+H10+J10+L10+N10)</f>
        <v>27</v>
      </c>
      <c r="P10" s="34">
        <v>7</v>
      </c>
      <c r="Q10" s="99" t="s">
        <v>11</v>
      </c>
    </row>
  </sheetData>
  <autoFilter ref="A3:Q10">
    <sortState ref="A4:Q10">
      <sortCondition ref="P3:P10"/>
    </sortState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P20" sqref="P20"/>
    </sheetView>
  </sheetViews>
  <sheetFormatPr baseColWidth="10" defaultRowHeight="15" x14ac:dyDescent="0.25"/>
  <cols>
    <col min="1" max="1" width="11.42578125" style="1"/>
    <col min="2" max="2" width="16.85546875" style="1" customWidth="1"/>
    <col min="3" max="3" width="7.5703125" style="1" customWidth="1"/>
    <col min="4" max="4" width="38.28515625" style="1" customWidth="1"/>
    <col min="5" max="5" width="15" style="1" customWidth="1"/>
    <col min="6" max="6" width="5.85546875" style="1" customWidth="1"/>
    <col min="7" max="7" width="14.570312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85546875" style="1" customWidth="1"/>
    <col min="13" max="13" width="15.140625" style="17" customWidth="1"/>
    <col min="14" max="14" width="5.7109375" style="17" customWidth="1"/>
    <col min="15" max="15" width="11.42578125" style="1"/>
    <col min="16" max="16" width="15.7109375" style="1" customWidth="1"/>
    <col min="17" max="17" width="14.5703125" style="1" customWidth="1"/>
  </cols>
  <sheetData>
    <row r="1" spans="1:17" s="4" customFormat="1" ht="44.25" customHeight="1" x14ac:dyDescent="0.25">
      <c r="A1" s="148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41" customFormat="1" x14ac:dyDescent="0.25">
      <c r="A2" s="29"/>
      <c r="B2" s="29"/>
      <c r="C2" s="29"/>
      <c r="D2" s="29"/>
      <c r="E2" s="124" t="s">
        <v>4</v>
      </c>
      <c r="F2" s="123"/>
      <c r="G2" s="124" t="s">
        <v>15</v>
      </c>
      <c r="H2" s="123"/>
      <c r="I2" s="124" t="s">
        <v>16</v>
      </c>
      <c r="J2" s="123"/>
      <c r="K2" s="124" t="s">
        <v>17</v>
      </c>
      <c r="L2" s="123"/>
      <c r="M2" s="124" t="s">
        <v>18</v>
      </c>
      <c r="N2" s="123"/>
      <c r="O2" s="28"/>
      <c r="P2" s="28"/>
      <c r="Q2" s="28"/>
    </row>
    <row r="3" spans="1:17" s="29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5" t="s">
        <v>8</v>
      </c>
      <c r="P3" s="125" t="s">
        <v>9</v>
      </c>
      <c r="Q3" s="125" t="s">
        <v>19</v>
      </c>
    </row>
    <row r="4" spans="1:17" x14ac:dyDescent="0.25">
      <c r="A4" s="81" t="str">
        <f>"Vincent"</f>
        <v>Vincent</v>
      </c>
      <c r="B4" s="81" t="str">
        <f>"Roberge-Poitras"</f>
        <v>Roberge-Poitras</v>
      </c>
      <c r="C4" s="63" t="str">
        <f>"2006"</f>
        <v>2006</v>
      </c>
      <c r="D4" s="81" t="str">
        <f>"C294 Club de judo Baie-Comeau"</f>
        <v>C294 Club de judo Baie-Comeau</v>
      </c>
      <c r="E4" s="67">
        <v>42</v>
      </c>
      <c r="F4" s="140">
        <v>1</v>
      </c>
      <c r="G4" s="110">
        <v>49</v>
      </c>
      <c r="H4" s="142">
        <v>1</v>
      </c>
      <c r="I4" s="121">
        <v>1270</v>
      </c>
      <c r="J4" s="142">
        <v>3</v>
      </c>
      <c r="K4" s="102">
        <v>60</v>
      </c>
      <c r="L4" s="142">
        <v>7</v>
      </c>
      <c r="M4" s="19">
        <v>64</v>
      </c>
      <c r="N4" s="142">
        <v>1</v>
      </c>
      <c r="O4" s="130">
        <f t="shared" ref="O4:O19" si="0">SUM(F4+H4+J4+L4+N4)</f>
        <v>13</v>
      </c>
      <c r="P4" s="37">
        <v>1</v>
      </c>
      <c r="Q4" s="77" t="s">
        <v>10</v>
      </c>
    </row>
    <row r="5" spans="1:17" x14ac:dyDescent="0.25">
      <c r="A5" s="81" t="str">
        <f>"Nathan"</f>
        <v>Nathan</v>
      </c>
      <c r="B5" s="81" t="str">
        <f>"Morin"</f>
        <v>Morin</v>
      </c>
      <c r="C5" s="63" t="str">
        <f>"2007"</f>
        <v>2007</v>
      </c>
      <c r="D5" s="81" t="str">
        <f>"C356 Judo Beauce"</f>
        <v>C356 Judo Beauce</v>
      </c>
      <c r="E5" s="68">
        <v>35</v>
      </c>
      <c r="F5" s="140">
        <v>2</v>
      </c>
      <c r="G5" s="103">
        <v>35</v>
      </c>
      <c r="H5" s="144">
        <v>3</v>
      </c>
      <c r="I5" s="21">
        <v>4560</v>
      </c>
      <c r="J5" s="144">
        <v>1</v>
      </c>
      <c r="K5" s="51">
        <v>74</v>
      </c>
      <c r="L5" s="144">
        <v>3</v>
      </c>
      <c r="M5" s="21">
        <v>57</v>
      </c>
      <c r="N5" s="144">
        <v>6</v>
      </c>
      <c r="O5" s="131">
        <f t="shared" si="0"/>
        <v>15</v>
      </c>
      <c r="P5" s="38">
        <v>2</v>
      </c>
      <c r="Q5" s="54" t="s">
        <v>10</v>
      </c>
    </row>
    <row r="6" spans="1:17" x14ac:dyDescent="0.25">
      <c r="A6" s="81" t="str">
        <f>"Mason"</f>
        <v>Mason</v>
      </c>
      <c r="B6" s="81" t="str">
        <f>"Bilodeau"</f>
        <v>Bilodeau</v>
      </c>
      <c r="C6" s="63" t="str">
        <f>"2007"</f>
        <v>2007</v>
      </c>
      <c r="D6" s="81" t="str">
        <f>"C356 Judo Beauce"</f>
        <v>C356 Judo Beauce</v>
      </c>
      <c r="E6" s="69">
        <v>32</v>
      </c>
      <c r="F6" s="140">
        <v>6</v>
      </c>
      <c r="G6" s="48">
        <v>29</v>
      </c>
      <c r="H6" s="144">
        <v>7</v>
      </c>
      <c r="I6" s="21">
        <v>1560</v>
      </c>
      <c r="J6" s="144">
        <v>2</v>
      </c>
      <c r="K6" s="51">
        <v>65</v>
      </c>
      <c r="L6" s="144">
        <v>5</v>
      </c>
      <c r="M6" s="21">
        <v>58</v>
      </c>
      <c r="N6" s="144">
        <v>4</v>
      </c>
      <c r="O6" s="131">
        <f t="shared" si="0"/>
        <v>24</v>
      </c>
      <c r="P6" s="38">
        <v>3</v>
      </c>
      <c r="Q6" s="54" t="s">
        <v>10</v>
      </c>
    </row>
    <row r="7" spans="1:17" x14ac:dyDescent="0.25">
      <c r="A7" s="81" t="str">
        <f>"Alex"</f>
        <v>Alex</v>
      </c>
      <c r="B7" s="81" t="str">
        <f>"Vachon"</f>
        <v>Vachon</v>
      </c>
      <c r="C7" s="63" t="str">
        <f>"2007"</f>
        <v>2007</v>
      </c>
      <c r="D7" s="81" t="str">
        <f>"C356 Judo Beauce"</f>
        <v>C356 Judo Beauce</v>
      </c>
      <c r="E7" s="70">
        <v>33</v>
      </c>
      <c r="F7" s="140">
        <v>5</v>
      </c>
      <c r="G7" s="104">
        <v>29</v>
      </c>
      <c r="H7" s="144">
        <v>7</v>
      </c>
      <c r="I7" s="21">
        <v>451</v>
      </c>
      <c r="J7" s="144">
        <v>9</v>
      </c>
      <c r="K7" s="51">
        <v>79</v>
      </c>
      <c r="L7" s="144">
        <v>2</v>
      </c>
      <c r="M7" s="21">
        <v>60</v>
      </c>
      <c r="N7" s="144">
        <v>3</v>
      </c>
      <c r="O7" s="131">
        <f t="shared" si="0"/>
        <v>26</v>
      </c>
      <c r="P7" s="38">
        <v>4</v>
      </c>
      <c r="Q7" s="54" t="s">
        <v>10</v>
      </c>
    </row>
    <row r="8" spans="1:17" x14ac:dyDescent="0.25">
      <c r="A8" s="81" t="str">
        <f>"Justin"</f>
        <v>Justin</v>
      </c>
      <c r="B8" s="81" t="str">
        <f>"Rodrigue"</f>
        <v>Rodrigue</v>
      </c>
      <c r="C8" s="63" t="str">
        <f>"2006"</f>
        <v>2006</v>
      </c>
      <c r="D8" s="81" t="str">
        <f>"C356 Judo Beauce"</f>
        <v>C356 Judo Beauce</v>
      </c>
      <c r="E8" s="71">
        <v>29</v>
      </c>
      <c r="F8" s="140">
        <v>10</v>
      </c>
      <c r="G8" s="104">
        <v>29</v>
      </c>
      <c r="H8" s="144">
        <v>7</v>
      </c>
      <c r="I8" s="19">
        <v>480</v>
      </c>
      <c r="J8" s="144">
        <v>8</v>
      </c>
      <c r="K8" s="51">
        <v>98</v>
      </c>
      <c r="L8" s="144">
        <v>1</v>
      </c>
      <c r="M8" s="19">
        <v>58</v>
      </c>
      <c r="N8" s="144">
        <v>4</v>
      </c>
      <c r="O8" s="131">
        <f t="shared" si="0"/>
        <v>30</v>
      </c>
      <c r="P8" s="38">
        <v>5</v>
      </c>
      <c r="Q8" s="54" t="s">
        <v>10</v>
      </c>
    </row>
    <row r="9" spans="1:17" x14ac:dyDescent="0.25">
      <c r="A9" s="81" t="str">
        <f>"Samuel"</f>
        <v>Samuel</v>
      </c>
      <c r="B9" s="81" t="str">
        <f>"L'espérance"</f>
        <v>L'espérance</v>
      </c>
      <c r="C9" s="63" t="str">
        <f>"2007"</f>
        <v>2007</v>
      </c>
      <c r="D9" s="81" t="str">
        <f>"C356 Judo Beauce"</f>
        <v>C356 Judo Beauce</v>
      </c>
      <c r="E9" s="71">
        <v>29</v>
      </c>
      <c r="F9" s="140">
        <v>10</v>
      </c>
      <c r="G9" s="101">
        <v>44</v>
      </c>
      <c r="H9" s="144">
        <v>2</v>
      </c>
      <c r="I9" s="21">
        <v>1045</v>
      </c>
      <c r="J9" s="144">
        <v>5</v>
      </c>
      <c r="K9" s="51">
        <v>72</v>
      </c>
      <c r="L9" s="144">
        <v>4</v>
      </c>
      <c r="M9" s="21">
        <v>53</v>
      </c>
      <c r="N9" s="144">
        <v>10</v>
      </c>
      <c r="O9" s="131">
        <f t="shared" si="0"/>
        <v>31</v>
      </c>
      <c r="P9" s="38">
        <v>6</v>
      </c>
      <c r="Q9" s="54" t="s">
        <v>10</v>
      </c>
    </row>
    <row r="10" spans="1:17" x14ac:dyDescent="0.25">
      <c r="A10" s="81" t="str">
        <f>"Philippe"</f>
        <v>Philippe</v>
      </c>
      <c r="B10" s="81" t="str">
        <f>"Lebrun"</f>
        <v>Lebrun</v>
      </c>
      <c r="C10" s="63" t="str">
        <f>"2007"</f>
        <v>2007</v>
      </c>
      <c r="D10" s="81" t="str">
        <f>"C055 Académie de Judo de Sept-Iles Inc."</f>
        <v>C055 Académie de Judo de Sept-Iles Inc.</v>
      </c>
      <c r="E10" s="62">
        <v>26</v>
      </c>
      <c r="F10" s="141">
        <v>15</v>
      </c>
      <c r="G10" s="50">
        <v>30</v>
      </c>
      <c r="H10" s="143">
        <v>6</v>
      </c>
      <c r="I10" s="22">
        <v>1201</v>
      </c>
      <c r="J10" s="143">
        <v>4</v>
      </c>
      <c r="K10" s="106">
        <v>61</v>
      </c>
      <c r="L10" s="144">
        <v>6</v>
      </c>
      <c r="M10" s="23">
        <v>61</v>
      </c>
      <c r="N10" s="143">
        <v>2</v>
      </c>
      <c r="O10" s="131">
        <f t="shared" si="0"/>
        <v>33</v>
      </c>
      <c r="P10" s="38">
        <v>7</v>
      </c>
      <c r="Q10" s="54" t="s">
        <v>10</v>
      </c>
    </row>
    <row r="11" spans="1:17" x14ac:dyDescent="0.25">
      <c r="A11" s="81" t="str">
        <f>"Tristan"</f>
        <v>Tristan</v>
      </c>
      <c r="B11" s="81" t="str">
        <f>"Perron"</f>
        <v>Perron</v>
      </c>
      <c r="C11" s="63" t="str">
        <f>"2006"</f>
        <v>2006</v>
      </c>
      <c r="D11" s="81" t="str">
        <f>"C279 Judo Blainville"</f>
        <v>C279 Judo Blainville</v>
      </c>
      <c r="E11" s="68">
        <v>35</v>
      </c>
      <c r="F11" s="140">
        <v>2</v>
      </c>
      <c r="G11" s="104">
        <v>32</v>
      </c>
      <c r="H11" s="144">
        <v>5</v>
      </c>
      <c r="I11" s="19">
        <v>616</v>
      </c>
      <c r="J11" s="144">
        <v>7</v>
      </c>
      <c r="K11" s="104">
        <v>0</v>
      </c>
      <c r="L11" s="144">
        <v>16</v>
      </c>
      <c r="M11" s="19">
        <v>53</v>
      </c>
      <c r="N11" s="144">
        <v>10</v>
      </c>
      <c r="O11" s="131">
        <f t="shared" si="0"/>
        <v>40</v>
      </c>
      <c r="P11" s="38">
        <v>8</v>
      </c>
      <c r="Q11" s="54" t="s">
        <v>10</v>
      </c>
    </row>
    <row r="12" spans="1:17" x14ac:dyDescent="0.25">
      <c r="A12" s="81" t="str">
        <f>"Raphaël"</f>
        <v>Raphaël</v>
      </c>
      <c r="B12" s="81" t="str">
        <f>"Cyr"</f>
        <v>Cyr</v>
      </c>
      <c r="C12" s="63" t="str">
        <f>"2007"</f>
        <v>2007</v>
      </c>
      <c r="D12" s="81" t="str">
        <f>"C055 Académie de Judo de Sept-Iles Inc."</f>
        <v>C055 Académie de Judo de Sept-Iles Inc.</v>
      </c>
      <c r="E12" s="61">
        <v>35</v>
      </c>
      <c r="F12" s="141">
        <v>2</v>
      </c>
      <c r="G12" s="109">
        <v>35</v>
      </c>
      <c r="H12" s="143">
        <v>3</v>
      </c>
      <c r="I12" s="15">
        <v>43</v>
      </c>
      <c r="J12" s="143">
        <v>16</v>
      </c>
      <c r="K12" s="108">
        <v>32</v>
      </c>
      <c r="L12" s="143">
        <v>11</v>
      </c>
      <c r="M12" s="22">
        <v>54</v>
      </c>
      <c r="N12" s="143">
        <v>9</v>
      </c>
      <c r="O12" s="131">
        <f t="shared" si="0"/>
        <v>41</v>
      </c>
      <c r="P12" s="38">
        <v>9</v>
      </c>
      <c r="Q12" s="54" t="s">
        <v>12</v>
      </c>
    </row>
    <row r="13" spans="1:17" x14ac:dyDescent="0.25">
      <c r="A13" s="81" t="str">
        <f>"Gabriel"</f>
        <v>Gabriel</v>
      </c>
      <c r="B13" s="81" t="str">
        <f>"Martin"</f>
        <v>Martin</v>
      </c>
      <c r="C13" s="63" t="str">
        <f>"2005"</f>
        <v>2005</v>
      </c>
      <c r="D13" s="81" t="str">
        <f>"C055 Académie de Judo de Sept-Iles Inc."</f>
        <v>C055 Académie de Judo de Sept-Iles Inc.</v>
      </c>
      <c r="E13" s="60">
        <v>31</v>
      </c>
      <c r="F13" s="141">
        <v>7</v>
      </c>
      <c r="G13" s="74">
        <v>28</v>
      </c>
      <c r="H13" s="143">
        <v>10</v>
      </c>
      <c r="I13" s="23">
        <v>661</v>
      </c>
      <c r="J13" s="143">
        <v>6</v>
      </c>
      <c r="K13" s="106">
        <v>48</v>
      </c>
      <c r="L13" s="144">
        <v>10</v>
      </c>
      <c r="M13" s="23">
        <v>48</v>
      </c>
      <c r="N13" s="143">
        <v>12</v>
      </c>
      <c r="O13" s="131">
        <f t="shared" si="0"/>
        <v>45</v>
      </c>
      <c r="P13" s="38">
        <v>10</v>
      </c>
      <c r="Q13" s="54" t="s">
        <v>10</v>
      </c>
    </row>
    <row r="14" spans="1:17" x14ac:dyDescent="0.25">
      <c r="A14" s="81" t="str">
        <f>"Dominic"</f>
        <v>Dominic</v>
      </c>
      <c r="B14" s="81" t="str">
        <f>"Guerault"</f>
        <v>Guerault</v>
      </c>
      <c r="C14" s="63" t="str">
        <f>"2007"</f>
        <v>2007</v>
      </c>
      <c r="D14" s="81" t="str">
        <f>"C055 Académie de Judo de Sept-Iles Inc."</f>
        <v>C055 Académie de Judo de Sept-Iles Inc.</v>
      </c>
      <c r="E14" s="60">
        <v>30</v>
      </c>
      <c r="F14" s="141">
        <v>8</v>
      </c>
      <c r="G14" s="50">
        <v>25</v>
      </c>
      <c r="H14" s="143">
        <v>12</v>
      </c>
      <c r="I14" s="23">
        <v>385</v>
      </c>
      <c r="J14" s="144">
        <v>12</v>
      </c>
      <c r="K14" s="108">
        <v>32</v>
      </c>
      <c r="L14" s="143">
        <v>11</v>
      </c>
      <c r="M14" s="23">
        <v>56</v>
      </c>
      <c r="N14" s="143">
        <v>7</v>
      </c>
      <c r="O14" s="131">
        <f t="shared" si="0"/>
        <v>50</v>
      </c>
      <c r="P14" s="38">
        <v>11</v>
      </c>
      <c r="Q14" s="54" t="s">
        <v>12</v>
      </c>
    </row>
    <row r="15" spans="1:17" x14ac:dyDescent="0.25">
      <c r="A15" s="81" t="str">
        <f>"Raphael"</f>
        <v>Raphael</v>
      </c>
      <c r="B15" s="81" t="str">
        <f>"Gagnon"</f>
        <v>Gagnon</v>
      </c>
      <c r="C15" s="63" t="str">
        <f>"2006"</f>
        <v>2006</v>
      </c>
      <c r="D15" s="81" t="str">
        <f>"C349 Club de judo de Fermont"</f>
        <v>C349 Club de judo de Fermont</v>
      </c>
      <c r="E15" s="69">
        <v>30</v>
      </c>
      <c r="F15" s="140">
        <v>8</v>
      </c>
      <c r="G15" s="48">
        <v>21</v>
      </c>
      <c r="H15" s="144">
        <v>16</v>
      </c>
      <c r="I15" s="19">
        <v>420</v>
      </c>
      <c r="J15" s="144">
        <v>11</v>
      </c>
      <c r="K15" s="51">
        <v>59</v>
      </c>
      <c r="L15" s="144">
        <v>8</v>
      </c>
      <c r="M15" s="19">
        <v>47</v>
      </c>
      <c r="N15" s="144">
        <v>13</v>
      </c>
      <c r="O15" s="131">
        <f t="shared" si="0"/>
        <v>56</v>
      </c>
      <c r="P15" s="38">
        <v>12</v>
      </c>
      <c r="Q15" s="54" t="s">
        <v>10</v>
      </c>
    </row>
    <row r="16" spans="1:17" x14ac:dyDescent="0.25">
      <c r="A16" s="81" t="str">
        <f>"Noah"</f>
        <v>Noah</v>
      </c>
      <c r="B16" s="81" t="str">
        <f>"Drolet"</f>
        <v>Drolet</v>
      </c>
      <c r="C16" s="63" t="str">
        <f>"2007"</f>
        <v>2007</v>
      </c>
      <c r="D16" s="81" t="str">
        <f>"C055 Académie de Judo de Sept-Iles Inc."</f>
        <v>C055 Académie de Judo de Sept-Iles Inc.</v>
      </c>
      <c r="E16" s="62">
        <v>28</v>
      </c>
      <c r="F16" s="141">
        <v>12</v>
      </c>
      <c r="G16" s="50">
        <v>25</v>
      </c>
      <c r="H16" s="143">
        <v>12</v>
      </c>
      <c r="I16" s="23">
        <v>435</v>
      </c>
      <c r="J16" s="143">
        <v>10</v>
      </c>
      <c r="K16" s="50">
        <v>15</v>
      </c>
      <c r="L16" s="143">
        <v>15</v>
      </c>
      <c r="M16" s="23">
        <v>55</v>
      </c>
      <c r="N16" s="143">
        <v>8</v>
      </c>
      <c r="O16" s="131">
        <f t="shared" si="0"/>
        <v>57</v>
      </c>
      <c r="P16" s="38">
        <v>13</v>
      </c>
      <c r="Q16" s="54" t="s">
        <v>11</v>
      </c>
    </row>
    <row r="17" spans="1:17" x14ac:dyDescent="0.25">
      <c r="A17" s="81" t="str">
        <f>"Jacob"</f>
        <v>Jacob</v>
      </c>
      <c r="B17" s="81" t="str">
        <f>"Marcoux"</f>
        <v>Marcoux</v>
      </c>
      <c r="C17" s="63" t="str">
        <f>"2006"</f>
        <v>2006</v>
      </c>
      <c r="D17" s="81" t="str">
        <f>"C055 Académie de Judo de Sept-Iles Inc."</f>
        <v>C055 Académie de Judo de Sept-Iles Inc.</v>
      </c>
      <c r="E17" s="71">
        <v>28</v>
      </c>
      <c r="F17" s="140">
        <v>12</v>
      </c>
      <c r="G17" s="74">
        <v>26</v>
      </c>
      <c r="H17" s="144">
        <v>11</v>
      </c>
      <c r="I17" s="27">
        <v>214</v>
      </c>
      <c r="J17" s="144">
        <v>14</v>
      </c>
      <c r="K17" s="106">
        <v>56</v>
      </c>
      <c r="L17" s="144">
        <v>9</v>
      </c>
      <c r="M17" s="26">
        <v>43</v>
      </c>
      <c r="N17" s="144">
        <v>14</v>
      </c>
      <c r="O17" s="131">
        <f t="shared" si="0"/>
        <v>60</v>
      </c>
      <c r="P17" s="38">
        <v>14</v>
      </c>
      <c r="Q17" s="76" t="s">
        <v>11</v>
      </c>
    </row>
    <row r="18" spans="1:17" x14ac:dyDescent="0.25">
      <c r="A18" s="81" t="str">
        <f>"Edouard"</f>
        <v>Edouard</v>
      </c>
      <c r="B18" s="81" t="str">
        <f>"Cotte"</f>
        <v>Cotte</v>
      </c>
      <c r="C18" s="63" t="str">
        <f>"2006"</f>
        <v>2006</v>
      </c>
      <c r="D18" s="81" t="str">
        <f>"C055 Académie de Judo de Sept-Iles Inc."</f>
        <v>C055 Académie de Judo de Sept-Iles Inc.</v>
      </c>
      <c r="E18" s="72">
        <v>23</v>
      </c>
      <c r="F18" s="141">
        <v>16</v>
      </c>
      <c r="G18" s="50">
        <v>25</v>
      </c>
      <c r="H18" s="143">
        <v>12</v>
      </c>
      <c r="I18" s="25">
        <v>220</v>
      </c>
      <c r="J18" s="143">
        <v>13</v>
      </c>
      <c r="K18" s="50">
        <v>20</v>
      </c>
      <c r="L18" s="143">
        <v>14</v>
      </c>
      <c r="M18" s="15">
        <v>35</v>
      </c>
      <c r="N18" s="143">
        <v>16</v>
      </c>
      <c r="O18" s="131">
        <f t="shared" si="0"/>
        <v>71</v>
      </c>
      <c r="P18" s="38">
        <v>15</v>
      </c>
      <c r="Q18" s="54" t="s">
        <v>13</v>
      </c>
    </row>
    <row r="19" spans="1:17" ht="15.75" thickBot="1" x14ac:dyDescent="0.3">
      <c r="A19" s="81" t="str">
        <f>"Lucas"</f>
        <v>Lucas</v>
      </c>
      <c r="B19" s="81" t="str">
        <f>"Gauthier"</f>
        <v>Gauthier</v>
      </c>
      <c r="C19" s="63" t="str">
        <f>"2007"</f>
        <v>2007</v>
      </c>
      <c r="D19" s="81" t="str">
        <f>"C055 Académie de Judo de Sept-Iles Inc."</f>
        <v>C055 Académie de Judo de Sept-Iles Inc.</v>
      </c>
      <c r="E19" s="86">
        <v>27</v>
      </c>
      <c r="F19" s="134">
        <v>14</v>
      </c>
      <c r="G19" s="105">
        <v>24</v>
      </c>
      <c r="H19" s="137">
        <v>15</v>
      </c>
      <c r="I19" s="65">
        <v>205</v>
      </c>
      <c r="J19" s="144">
        <v>15</v>
      </c>
      <c r="K19" s="105">
        <v>21</v>
      </c>
      <c r="L19" s="137">
        <v>13</v>
      </c>
      <c r="M19" s="78">
        <v>40</v>
      </c>
      <c r="N19" s="137">
        <v>15</v>
      </c>
      <c r="O19" s="132">
        <f t="shared" si="0"/>
        <v>72</v>
      </c>
      <c r="P19" s="39">
        <v>16</v>
      </c>
      <c r="Q19" s="99" t="s">
        <v>13</v>
      </c>
    </row>
    <row r="20" spans="1:17" x14ac:dyDescent="0.25">
      <c r="E20" s="9"/>
      <c r="F20" s="9"/>
      <c r="G20" s="5"/>
      <c r="H20" s="5"/>
      <c r="I20" s="111" t="s">
        <v>14</v>
      </c>
      <c r="J20" s="5"/>
      <c r="K20" s="5"/>
      <c r="L20" s="5"/>
      <c r="M20" s="14"/>
      <c r="N20" s="14"/>
    </row>
    <row r="21" spans="1:17" x14ac:dyDescent="0.25">
      <c r="E21" s="7"/>
      <c r="F21" s="7"/>
    </row>
    <row r="22" spans="1:17" x14ac:dyDescent="0.25">
      <c r="D22" s="42"/>
      <c r="E22" s="7"/>
      <c r="F22" s="7"/>
      <c r="J22" s="111"/>
    </row>
    <row r="23" spans="1:17" x14ac:dyDescent="0.25">
      <c r="E23" s="7"/>
      <c r="F23" s="7"/>
    </row>
    <row r="24" spans="1:17" x14ac:dyDescent="0.25">
      <c r="E24" s="7"/>
      <c r="F24" s="7"/>
    </row>
  </sheetData>
  <autoFilter ref="A3:Q19">
    <sortState ref="A4:Q19">
      <sortCondition ref="O3:O19"/>
    </sortState>
  </autoFilter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L12" sqref="L12"/>
    </sheetView>
  </sheetViews>
  <sheetFormatPr baseColWidth="10" defaultRowHeight="15" x14ac:dyDescent="0.25"/>
  <cols>
    <col min="3" max="3" width="7.85546875" customWidth="1"/>
    <col min="4" max="4" width="31.42578125" customWidth="1"/>
    <col min="5" max="5" width="15" style="4" customWidth="1"/>
    <col min="6" max="6" width="5.7109375" style="4" customWidth="1"/>
    <col min="7" max="7" width="14.5703125" style="4" customWidth="1"/>
    <col min="8" max="8" width="5.5703125" style="4" customWidth="1"/>
    <col min="9" max="9" width="15" style="4" customWidth="1"/>
    <col min="10" max="10" width="6" style="4" customWidth="1"/>
    <col min="11" max="11" width="15" style="4" customWidth="1"/>
    <col min="12" max="12" width="5.5703125" style="4" customWidth="1"/>
    <col min="13" max="13" width="15.140625" style="4" customWidth="1"/>
    <col min="14" max="14" width="5.85546875" style="4" customWidth="1"/>
  </cols>
  <sheetData>
    <row r="1" spans="1:17" s="150" customFormat="1" ht="44.25" customHeight="1" x14ac:dyDescent="0.5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3" customFormat="1" x14ac:dyDescent="0.25">
      <c r="A2" s="29"/>
      <c r="B2" s="29"/>
      <c r="C2" s="29"/>
      <c r="D2" s="29"/>
      <c r="E2" s="98" t="s">
        <v>4</v>
      </c>
      <c r="F2" s="98"/>
      <c r="G2" s="98" t="s">
        <v>15</v>
      </c>
      <c r="H2" s="98"/>
      <c r="I2" s="98" t="s">
        <v>16</v>
      </c>
      <c r="J2" s="98"/>
      <c r="K2" s="98" t="s">
        <v>17</v>
      </c>
      <c r="L2" s="98"/>
      <c r="M2" s="98" t="s">
        <v>18</v>
      </c>
      <c r="N2" s="40"/>
      <c r="O2" s="28"/>
      <c r="P2" s="28"/>
      <c r="Q2" s="29"/>
    </row>
    <row r="3" spans="1:17" s="3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30" t="s">
        <v>8</v>
      </c>
      <c r="P3" s="30" t="s">
        <v>9</v>
      </c>
      <c r="Q3" s="125" t="s">
        <v>19</v>
      </c>
    </row>
    <row r="4" spans="1:17" ht="15.75" thickBot="1" x14ac:dyDescent="0.3">
      <c r="A4" s="81" t="str">
        <f>"Laurence"</f>
        <v>Laurence</v>
      </c>
      <c r="B4" s="81" t="str">
        <f>"Biron"</f>
        <v>Biron</v>
      </c>
      <c r="C4" s="85" t="str">
        <f>"2003"</f>
        <v>2003</v>
      </c>
      <c r="D4" s="81" t="str">
        <f>"C170 Club de judo de Varennes"</f>
        <v>C170 Club de judo de Varennes</v>
      </c>
      <c r="E4" s="82">
        <v>44</v>
      </c>
      <c r="F4" s="138">
        <v>1</v>
      </c>
      <c r="G4" s="112">
        <v>39</v>
      </c>
      <c r="H4" s="138">
        <v>1</v>
      </c>
      <c r="I4" s="82">
        <v>303</v>
      </c>
      <c r="J4" s="138">
        <v>1</v>
      </c>
      <c r="K4" s="114">
        <v>57</v>
      </c>
      <c r="L4" s="139">
        <v>1</v>
      </c>
      <c r="M4" s="113">
        <v>64</v>
      </c>
      <c r="N4" s="139">
        <v>1</v>
      </c>
      <c r="O4" s="79">
        <v>5</v>
      </c>
      <c r="P4" s="46">
        <v>1</v>
      </c>
      <c r="Q4" s="80" t="s">
        <v>10</v>
      </c>
    </row>
    <row r="5" spans="1:17" x14ac:dyDescent="0.25">
      <c r="E5" s="6"/>
      <c r="F5" s="6"/>
    </row>
    <row r="6" spans="1:17" x14ac:dyDescent="0.25">
      <c r="E6" s="6"/>
      <c r="F6" s="6"/>
    </row>
    <row r="7" spans="1:17" x14ac:dyDescent="0.25">
      <c r="E7" s="6"/>
      <c r="F7" s="6"/>
    </row>
    <row r="8" spans="1:17" x14ac:dyDescent="0.25">
      <c r="E8" s="6"/>
      <c r="F8" s="6"/>
    </row>
  </sheetData>
  <autoFilter ref="A3:Q4"/>
  <mergeCells count="1">
    <mergeCell ref="A1:Q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B7" sqref="B7"/>
    </sheetView>
  </sheetViews>
  <sheetFormatPr baseColWidth="10" defaultRowHeight="15" x14ac:dyDescent="0.25"/>
  <cols>
    <col min="1" max="3" width="11.42578125" style="1"/>
    <col min="4" max="4" width="36.5703125" style="1" customWidth="1"/>
    <col min="5" max="5" width="12.85546875" style="1" customWidth="1"/>
    <col min="6" max="6" width="6.140625" style="1" customWidth="1"/>
    <col min="7" max="7" width="12.42578125" style="17" customWidth="1"/>
    <col min="8" max="8" width="6" style="17" customWidth="1"/>
    <col min="9" max="9" width="12.28515625" style="1" customWidth="1"/>
    <col min="10" max="10" width="5.7109375" style="1" customWidth="1"/>
    <col min="11" max="11" width="12.42578125" style="1" customWidth="1"/>
    <col min="12" max="12" width="5.7109375" style="1" customWidth="1"/>
    <col min="13" max="13" width="12.42578125" style="1" customWidth="1"/>
    <col min="14" max="14" width="6" style="1" customWidth="1"/>
    <col min="15" max="15" width="8.7109375" style="1" customWidth="1"/>
    <col min="16" max="16" width="13.42578125" style="1" customWidth="1"/>
    <col min="17" max="17" width="10" style="1" customWidth="1"/>
  </cols>
  <sheetData>
    <row r="1" spans="1:17" s="150" customFormat="1" ht="44.25" customHeight="1" x14ac:dyDescent="0.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3" customFormat="1" x14ac:dyDescent="0.25">
      <c r="A2" s="29"/>
      <c r="B2" s="29"/>
      <c r="C2" s="29"/>
      <c r="D2" s="29"/>
      <c r="E2" s="124" t="s">
        <v>4</v>
      </c>
      <c r="F2" s="123"/>
      <c r="G2" s="98" t="s">
        <v>15</v>
      </c>
      <c r="H2" s="98"/>
      <c r="I2" s="98" t="s">
        <v>16</v>
      </c>
      <c r="J2" s="98"/>
      <c r="K2" s="98" t="s">
        <v>17</v>
      </c>
      <c r="L2" s="98"/>
      <c r="M2" s="98" t="s">
        <v>18</v>
      </c>
      <c r="N2" s="40"/>
      <c r="O2" s="28"/>
      <c r="P2" s="28"/>
      <c r="Q2" s="28"/>
    </row>
    <row r="3" spans="1:17" s="3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5" t="s">
        <v>8</v>
      </c>
      <c r="P3" s="125" t="s">
        <v>9</v>
      </c>
      <c r="Q3" s="125" t="s">
        <v>19</v>
      </c>
    </row>
    <row r="4" spans="1:17" x14ac:dyDescent="0.25">
      <c r="A4" s="81" t="str">
        <f>"Christopher"</f>
        <v>Christopher</v>
      </c>
      <c r="B4" s="81" t="str">
        <f>"Pelletier"</f>
        <v>Pelletier</v>
      </c>
      <c r="C4" s="63" t="str">
        <f>"1993"</f>
        <v>1993</v>
      </c>
      <c r="D4" s="81" t="str">
        <f>"C094 Club de judo D'Amqui"</f>
        <v>C094 Club de judo D'Amqui</v>
      </c>
      <c r="E4" s="22">
        <v>35</v>
      </c>
      <c r="F4" s="136">
        <v>1</v>
      </c>
      <c r="G4" s="107">
        <v>48</v>
      </c>
      <c r="H4" s="136">
        <v>1</v>
      </c>
      <c r="I4" s="21">
        <v>309</v>
      </c>
      <c r="J4" s="136">
        <v>1</v>
      </c>
      <c r="K4" s="102">
        <v>60</v>
      </c>
      <c r="L4" s="136">
        <v>1</v>
      </c>
      <c r="M4" s="23">
        <v>62</v>
      </c>
      <c r="N4" s="136">
        <v>1</v>
      </c>
      <c r="O4" s="75">
        <v>5</v>
      </c>
      <c r="P4" s="37">
        <v>1</v>
      </c>
      <c r="Q4" s="53" t="s">
        <v>10</v>
      </c>
    </row>
    <row r="5" spans="1:17" ht="15.75" thickBot="1" x14ac:dyDescent="0.3">
      <c r="A5" s="81" t="str">
        <f>"Maxime"</f>
        <v>Maxime</v>
      </c>
      <c r="B5" s="81" t="str">
        <f>"Lebel"</f>
        <v>Lebel</v>
      </c>
      <c r="C5" s="63" t="str">
        <f>"2002"</f>
        <v>2002</v>
      </c>
      <c r="D5" s="81" t="str">
        <f>"C055 Académie de Judo de Sept-Iles Inc."</f>
        <v>C055 Académie de Judo de Sept-Iles Inc.</v>
      </c>
      <c r="E5" s="90">
        <v>31</v>
      </c>
      <c r="F5" s="137">
        <v>2</v>
      </c>
      <c r="G5" s="115">
        <v>34</v>
      </c>
      <c r="H5" s="137">
        <v>2</v>
      </c>
      <c r="I5" s="91">
        <v>126</v>
      </c>
      <c r="J5" s="137">
        <v>2</v>
      </c>
      <c r="K5" s="116">
        <v>53</v>
      </c>
      <c r="L5" s="137">
        <v>2</v>
      </c>
      <c r="M5" s="82">
        <v>48</v>
      </c>
      <c r="N5" s="137">
        <v>2</v>
      </c>
      <c r="O5" s="73">
        <v>10</v>
      </c>
      <c r="P5" s="39">
        <v>2</v>
      </c>
      <c r="Q5" s="56" t="s">
        <v>12</v>
      </c>
    </row>
    <row r="6" spans="1:17" x14ac:dyDescent="0.25">
      <c r="E6" s="8"/>
      <c r="F6" s="8"/>
      <c r="G6" s="16"/>
      <c r="H6" s="16"/>
      <c r="I6" s="12"/>
      <c r="J6" s="12"/>
      <c r="K6" s="12"/>
      <c r="L6" s="12"/>
      <c r="M6" s="12"/>
      <c r="N6" s="12"/>
    </row>
    <row r="7" spans="1:17" x14ac:dyDescent="0.25">
      <c r="E7" s="7"/>
      <c r="F7" s="7"/>
    </row>
    <row r="8" spans="1:17" x14ac:dyDescent="0.25">
      <c r="E8" s="7"/>
      <c r="F8" s="7"/>
    </row>
    <row r="9" spans="1:17" x14ac:dyDescent="0.25">
      <c r="E9" s="7"/>
      <c r="F9" s="7"/>
      <c r="G9" s="43"/>
      <c r="H9" s="43"/>
      <c r="I9" s="10"/>
      <c r="J9" s="10"/>
      <c r="K9" s="10"/>
      <c r="L9" s="10"/>
      <c r="M9" s="10"/>
      <c r="N9" s="10"/>
    </row>
    <row r="10" spans="1:17" x14ac:dyDescent="0.25">
      <c r="E10" s="7"/>
      <c r="F10" s="7"/>
      <c r="G10" s="43"/>
      <c r="H10" s="43"/>
      <c r="I10" s="10"/>
      <c r="J10" s="10"/>
      <c r="K10" s="10"/>
      <c r="L10" s="10"/>
      <c r="M10" s="10"/>
      <c r="N10" s="10"/>
    </row>
    <row r="11" spans="1:17" x14ac:dyDescent="0.25">
      <c r="E11" s="7"/>
      <c r="F11" s="7"/>
      <c r="G11" s="15"/>
      <c r="H11" s="15"/>
      <c r="I11" s="7"/>
      <c r="J11" s="7"/>
      <c r="K11" s="7"/>
      <c r="L11" s="7"/>
      <c r="M11" s="7"/>
      <c r="N11" s="7"/>
    </row>
    <row r="12" spans="1:17" x14ac:dyDescent="0.25">
      <c r="E12" s="7"/>
      <c r="F12" s="7"/>
      <c r="G12" s="15"/>
      <c r="H12" s="15"/>
      <c r="I12" s="7"/>
      <c r="J12" s="7"/>
      <c r="K12" s="7"/>
      <c r="L12" s="7"/>
    </row>
    <row r="14" spans="1:17" x14ac:dyDescent="0.25">
      <c r="G14" s="14"/>
      <c r="H14" s="14"/>
    </row>
  </sheetData>
  <autoFilter ref="A3:Q5">
    <sortState ref="A3:Q4">
      <sortCondition ref="P2:P4"/>
    </sortState>
  </autoFilter>
  <mergeCells count="1">
    <mergeCell ref="A1:Q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N20" sqref="N20"/>
    </sheetView>
  </sheetViews>
  <sheetFormatPr baseColWidth="10" defaultRowHeight="15" x14ac:dyDescent="0.25"/>
  <cols>
    <col min="1" max="1" width="11.42578125" style="1"/>
    <col min="2" max="2" width="12.42578125" style="1" customWidth="1"/>
    <col min="3" max="3" width="11.42578125" style="1"/>
    <col min="4" max="4" width="29.42578125" style="1" customWidth="1"/>
    <col min="5" max="5" width="12.42578125" style="1" customWidth="1"/>
    <col min="6" max="6" width="6" style="1" customWidth="1"/>
    <col min="7" max="7" width="12.140625" style="1" customWidth="1"/>
    <col min="8" max="8" width="6.140625" style="1" customWidth="1"/>
    <col min="9" max="9" width="12.7109375" style="1" customWidth="1"/>
    <col min="10" max="10" width="6.140625" style="1" customWidth="1"/>
    <col min="11" max="11" width="12.42578125" style="1" customWidth="1"/>
    <col min="12" max="12" width="6.140625" style="1" customWidth="1"/>
    <col min="13" max="13" width="12.42578125" style="1" customWidth="1"/>
    <col min="14" max="14" width="6" style="1" customWidth="1"/>
    <col min="15" max="15" width="8.7109375" style="1" customWidth="1"/>
    <col min="16" max="16" width="13.28515625" style="1" customWidth="1"/>
    <col min="17" max="17" width="9.42578125" style="1" customWidth="1"/>
  </cols>
  <sheetData>
    <row r="1" spans="1:17" s="150" customFormat="1" ht="44.25" customHeight="1" x14ac:dyDescent="0.5">
      <c r="A1" s="153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41" customFormat="1" x14ac:dyDescent="0.25">
      <c r="A2" s="29"/>
      <c r="B2" s="29"/>
      <c r="C2" s="29"/>
      <c r="D2" s="29"/>
      <c r="E2" s="124" t="s">
        <v>4</v>
      </c>
      <c r="F2" s="123"/>
      <c r="G2" s="98" t="s">
        <v>15</v>
      </c>
      <c r="H2" s="98"/>
      <c r="I2" s="98" t="s">
        <v>16</v>
      </c>
      <c r="J2" s="98"/>
      <c r="K2" s="98" t="s">
        <v>17</v>
      </c>
      <c r="L2" s="98"/>
      <c r="M2" s="98" t="s">
        <v>18</v>
      </c>
      <c r="N2" s="40"/>
      <c r="O2" s="28"/>
      <c r="P2" s="28"/>
      <c r="Q2" s="29"/>
    </row>
    <row r="3" spans="1:17" s="41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6" t="s">
        <v>8</v>
      </c>
      <c r="P3" s="126" t="s">
        <v>9</v>
      </c>
      <c r="Q3" s="125" t="s">
        <v>19</v>
      </c>
    </row>
    <row r="4" spans="1:17" ht="15.75" thickBot="1" x14ac:dyDescent="0.3">
      <c r="A4" s="81" t="str">
        <f>"Joliane"</f>
        <v>Joliane</v>
      </c>
      <c r="B4" s="81" t="str">
        <f>"L.-Melancon"</f>
        <v>L.-Melancon</v>
      </c>
      <c r="C4" s="63" t="str">
        <f>"1986"</f>
        <v>1986</v>
      </c>
      <c r="D4" s="81" t="str">
        <f>"C170 Club de judo de Varennes"</f>
        <v>C170 Club de judo de Varennes</v>
      </c>
      <c r="E4" s="87">
        <v>30</v>
      </c>
      <c r="F4" s="134">
        <v>1</v>
      </c>
      <c r="G4" s="117">
        <v>29</v>
      </c>
      <c r="H4" s="135">
        <v>1</v>
      </c>
      <c r="I4" s="88">
        <v>180</v>
      </c>
      <c r="J4" s="135">
        <v>1</v>
      </c>
      <c r="K4" s="112">
        <v>45</v>
      </c>
      <c r="L4" s="135">
        <v>1</v>
      </c>
      <c r="M4" s="89">
        <v>46</v>
      </c>
      <c r="N4" s="135">
        <v>1</v>
      </c>
      <c r="O4" s="79">
        <v>5</v>
      </c>
      <c r="P4" s="46">
        <v>1</v>
      </c>
      <c r="Q4" s="80" t="s">
        <v>10</v>
      </c>
    </row>
    <row r="5" spans="1:17" x14ac:dyDescent="0.25">
      <c r="E5" s="7"/>
      <c r="F5" s="7"/>
    </row>
    <row r="6" spans="1:17" x14ac:dyDescent="0.25">
      <c r="E6" s="7"/>
      <c r="F6" s="7"/>
    </row>
    <row r="7" spans="1:17" x14ac:dyDescent="0.25">
      <c r="E7" s="7"/>
      <c r="F7" s="7"/>
    </row>
    <row r="8" spans="1:17" x14ac:dyDescent="0.25">
      <c r="E8" s="7"/>
      <c r="F8" s="7"/>
    </row>
    <row r="14" spans="1:17" x14ac:dyDescent="0.25">
      <c r="E14" s="5"/>
      <c r="F14" s="5"/>
    </row>
  </sheetData>
  <autoFilter ref="A3:Q4"/>
  <mergeCells count="1">
    <mergeCell ref="A1:Q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J16" sqref="J16"/>
    </sheetView>
  </sheetViews>
  <sheetFormatPr baseColWidth="10" defaultRowHeight="15" x14ac:dyDescent="0.25"/>
  <cols>
    <col min="1" max="2" width="11.42578125" style="1"/>
    <col min="3" max="3" width="7.85546875" style="1" customWidth="1"/>
    <col min="4" max="4" width="56.7109375" style="1" customWidth="1"/>
    <col min="5" max="5" width="12.7109375" style="1" customWidth="1"/>
    <col min="6" max="6" width="6.42578125" style="1" customWidth="1"/>
    <col min="7" max="7" width="12.42578125" style="1" customWidth="1"/>
    <col min="8" max="8" width="6.140625" style="1" customWidth="1"/>
    <col min="9" max="9" width="12.42578125" style="1" customWidth="1"/>
    <col min="10" max="10" width="6.140625" style="1" customWidth="1"/>
    <col min="11" max="11" width="12.28515625" style="1" customWidth="1"/>
    <col min="12" max="12" width="6.140625" style="1" customWidth="1"/>
    <col min="13" max="13" width="12.42578125" style="1" customWidth="1"/>
    <col min="14" max="14" width="6" style="1" customWidth="1"/>
    <col min="15" max="15" width="8.42578125" style="1" customWidth="1"/>
    <col min="16" max="16" width="13.140625" style="1" customWidth="1"/>
    <col min="17" max="17" width="10" style="1" customWidth="1"/>
  </cols>
  <sheetData>
    <row r="1" spans="1:17" s="150" customFormat="1" ht="44.25" customHeight="1" x14ac:dyDescent="0.5">
      <c r="A1" s="153" t="s">
        <v>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3" customFormat="1" x14ac:dyDescent="0.25">
      <c r="A2" s="29"/>
      <c r="B2" s="29"/>
      <c r="C2" s="29"/>
      <c r="D2" s="29"/>
      <c r="E2" s="124" t="s">
        <v>4</v>
      </c>
      <c r="F2" s="123"/>
      <c r="G2" s="98" t="s">
        <v>15</v>
      </c>
      <c r="H2" s="98"/>
      <c r="I2" s="98" t="s">
        <v>16</v>
      </c>
      <c r="J2" s="98"/>
      <c r="K2" s="98" t="s">
        <v>17</v>
      </c>
      <c r="L2" s="98"/>
      <c r="M2" s="98" t="s">
        <v>18</v>
      </c>
      <c r="N2" s="40"/>
      <c r="O2" s="28"/>
      <c r="P2" s="28"/>
      <c r="Q2" s="28"/>
    </row>
    <row r="3" spans="1:17" s="3" customFormat="1" ht="15.75" thickBot="1" x14ac:dyDescent="0.3">
      <c r="A3" s="29" t="s">
        <v>0</v>
      </c>
      <c r="B3" s="29" t="s">
        <v>1</v>
      </c>
      <c r="C3" s="29" t="s">
        <v>2</v>
      </c>
      <c r="D3" s="29" t="s">
        <v>3</v>
      </c>
      <c r="E3" s="133" t="s">
        <v>7</v>
      </c>
      <c r="F3" s="125"/>
      <c r="G3" s="125" t="s">
        <v>7</v>
      </c>
      <c r="H3" s="125"/>
      <c r="I3" s="133" t="s">
        <v>7</v>
      </c>
      <c r="J3" s="125"/>
      <c r="K3" s="125" t="s">
        <v>7</v>
      </c>
      <c r="L3" s="125"/>
      <c r="M3" s="133" t="s">
        <v>7</v>
      </c>
      <c r="N3" s="125"/>
      <c r="O3" s="125" t="s">
        <v>8</v>
      </c>
      <c r="P3" s="125" t="s">
        <v>9</v>
      </c>
      <c r="Q3" s="125" t="s">
        <v>19</v>
      </c>
    </row>
    <row r="4" spans="1:17" x14ac:dyDescent="0.25">
      <c r="A4" s="81" t="str">
        <f>"Patrick"</f>
        <v>Patrick</v>
      </c>
      <c r="B4" s="81" t="str">
        <f>"Lam"</f>
        <v>Lam</v>
      </c>
      <c r="C4" s="63" t="str">
        <f>"1977"</f>
        <v>1977</v>
      </c>
      <c r="D4" s="81" t="str">
        <f>"C047 Club de judo Torii"</f>
        <v>C047 Club de judo Torii</v>
      </c>
      <c r="E4" s="19">
        <v>36</v>
      </c>
      <c r="F4" s="136">
        <v>1</v>
      </c>
      <c r="G4" s="119">
        <v>47</v>
      </c>
      <c r="H4" s="136">
        <v>1</v>
      </c>
      <c r="I4" s="19">
        <v>250</v>
      </c>
      <c r="J4" s="136">
        <v>3</v>
      </c>
      <c r="K4" s="102">
        <v>48</v>
      </c>
      <c r="L4" s="136">
        <v>3</v>
      </c>
      <c r="M4" s="22">
        <v>60</v>
      </c>
      <c r="N4" s="136">
        <v>1</v>
      </c>
      <c r="O4" s="75">
        <v>9</v>
      </c>
      <c r="P4" s="37">
        <v>1</v>
      </c>
      <c r="Q4" s="53" t="s">
        <v>10</v>
      </c>
    </row>
    <row r="5" spans="1:17" x14ac:dyDescent="0.25">
      <c r="A5" s="81" t="str">
        <f>"Mathieu"</f>
        <v>Mathieu</v>
      </c>
      <c r="B5" s="81" t="str">
        <f>"Turcotte"</f>
        <v>Turcotte</v>
      </c>
      <c r="C5" s="63" t="str">
        <f>"1980"</f>
        <v>1980</v>
      </c>
      <c r="D5" s="81" t="str">
        <f>"C094 Club de judo D'Amqui"</f>
        <v>C094 Club de judo D'Amqui</v>
      </c>
      <c r="E5" s="21">
        <v>33</v>
      </c>
      <c r="F5" s="143">
        <v>2</v>
      </c>
      <c r="G5" s="55">
        <v>45</v>
      </c>
      <c r="H5" s="143">
        <v>2</v>
      </c>
      <c r="I5" s="14">
        <v>153</v>
      </c>
      <c r="J5" s="143">
        <v>4</v>
      </c>
      <c r="K5" s="51">
        <v>63</v>
      </c>
      <c r="L5" s="143">
        <v>1</v>
      </c>
      <c r="M5" s="19">
        <v>59</v>
      </c>
      <c r="N5" s="143">
        <v>2</v>
      </c>
      <c r="O5" s="72">
        <v>11</v>
      </c>
      <c r="P5" s="38">
        <v>2</v>
      </c>
      <c r="Q5" s="54" t="s">
        <v>10</v>
      </c>
    </row>
    <row r="6" spans="1:17" x14ac:dyDescent="0.25">
      <c r="A6" s="81" t="str">
        <f>"Julien"</f>
        <v>Julien</v>
      </c>
      <c r="B6" s="81" t="str">
        <f>"Paradis"</f>
        <v>Paradis</v>
      </c>
      <c r="C6" s="63" t="str">
        <f>"1979"</f>
        <v>1979</v>
      </c>
      <c r="D6" s="81" t="str">
        <f>"C170 Club de judo de Varennes"</f>
        <v>C170 Club de judo de Varennes</v>
      </c>
      <c r="E6" s="21">
        <v>32</v>
      </c>
      <c r="F6" s="143">
        <v>3</v>
      </c>
      <c r="G6" s="122">
        <v>39</v>
      </c>
      <c r="H6" s="143">
        <v>4</v>
      </c>
      <c r="I6" s="21">
        <v>278</v>
      </c>
      <c r="J6" s="143">
        <v>2</v>
      </c>
      <c r="K6" s="51">
        <v>42</v>
      </c>
      <c r="L6" s="143">
        <v>6</v>
      </c>
      <c r="M6" s="23">
        <v>55</v>
      </c>
      <c r="N6" s="143">
        <v>3</v>
      </c>
      <c r="O6" s="72">
        <v>18</v>
      </c>
      <c r="P6" s="38">
        <v>3</v>
      </c>
      <c r="Q6" s="54" t="s">
        <v>10</v>
      </c>
    </row>
    <row r="7" spans="1:17" x14ac:dyDescent="0.25">
      <c r="A7" s="81" t="str">
        <f>"Luis"</f>
        <v>Luis</v>
      </c>
      <c r="B7" s="81" t="str">
        <f>"Bernardo"</f>
        <v>Bernardo</v>
      </c>
      <c r="C7" s="63" t="str">
        <f>"1987"</f>
        <v>1987</v>
      </c>
      <c r="D7" s="81" t="str">
        <f>"C055 Académie de Judo de Sept-Iles Inc."</f>
        <v>C055 Académie de Judo de Sept-Iles Inc.</v>
      </c>
      <c r="E7" s="24">
        <v>26</v>
      </c>
      <c r="F7" s="143">
        <v>5</v>
      </c>
      <c r="G7" s="146">
        <v>32</v>
      </c>
      <c r="H7" s="143">
        <v>6</v>
      </c>
      <c r="I7" s="23">
        <v>303</v>
      </c>
      <c r="J7" s="143">
        <v>1</v>
      </c>
      <c r="K7" s="106">
        <v>62</v>
      </c>
      <c r="L7" s="143">
        <v>2</v>
      </c>
      <c r="M7" s="23">
        <v>43</v>
      </c>
      <c r="N7" s="143">
        <v>5</v>
      </c>
      <c r="O7" s="72">
        <v>19</v>
      </c>
      <c r="P7" s="38">
        <v>4</v>
      </c>
      <c r="Q7" s="54" t="s">
        <v>10</v>
      </c>
    </row>
    <row r="8" spans="1:17" x14ac:dyDescent="0.25">
      <c r="A8" s="81" t="str">
        <f>"François"</f>
        <v>François</v>
      </c>
      <c r="B8" s="81" t="str">
        <f>"Joly"</f>
        <v>Joly</v>
      </c>
      <c r="C8" s="63" t="str">
        <f>"1971"</f>
        <v>1971</v>
      </c>
      <c r="D8" s="81" t="str">
        <f>"C378 École d'arts martiaux et d'autodéfense Chikara de Chelsea"</f>
        <v>C378 École d'arts martiaux et d'autodéfense Chikara de Chelsea</v>
      </c>
      <c r="E8" s="152">
        <v>28</v>
      </c>
      <c r="F8" s="143">
        <v>4</v>
      </c>
      <c r="G8" s="55">
        <v>43</v>
      </c>
      <c r="H8" s="143">
        <v>3</v>
      </c>
      <c r="I8" s="13">
        <v>64</v>
      </c>
      <c r="J8" s="143">
        <v>7</v>
      </c>
      <c r="K8" s="51">
        <v>44</v>
      </c>
      <c r="L8" s="143">
        <v>5</v>
      </c>
      <c r="M8" s="19">
        <v>44</v>
      </c>
      <c r="N8" s="143">
        <v>4</v>
      </c>
      <c r="O8" s="72">
        <v>23</v>
      </c>
      <c r="P8" s="38">
        <v>5</v>
      </c>
      <c r="Q8" s="54" t="s">
        <v>10</v>
      </c>
    </row>
    <row r="9" spans="1:17" x14ac:dyDescent="0.25">
      <c r="A9" s="81" t="str">
        <f>"Martin"</f>
        <v>Martin</v>
      </c>
      <c r="B9" s="81" t="str">
        <f>"Beaulieu"</f>
        <v>Beaulieu</v>
      </c>
      <c r="C9" s="63" t="str">
        <f>"1979"</f>
        <v>1979</v>
      </c>
      <c r="D9" s="81" t="str">
        <f>"C356 Judo Beauce"</f>
        <v>C356 Judo Beauce</v>
      </c>
      <c r="E9" s="25">
        <v>23</v>
      </c>
      <c r="F9" s="143">
        <v>7</v>
      </c>
      <c r="G9" s="120">
        <v>30</v>
      </c>
      <c r="H9" s="143">
        <v>7</v>
      </c>
      <c r="I9" s="13">
        <v>138</v>
      </c>
      <c r="J9" s="143">
        <v>5</v>
      </c>
      <c r="K9" s="51">
        <v>45</v>
      </c>
      <c r="L9" s="143">
        <v>4</v>
      </c>
      <c r="M9" s="19">
        <v>40</v>
      </c>
      <c r="N9" s="143">
        <v>7</v>
      </c>
      <c r="O9" s="72">
        <v>30</v>
      </c>
      <c r="P9" s="38">
        <v>6</v>
      </c>
      <c r="Q9" s="54" t="s">
        <v>11</v>
      </c>
    </row>
    <row r="10" spans="1:17" ht="15.75" thickBot="1" x14ac:dyDescent="0.3">
      <c r="A10" s="81" t="str">
        <f>"Nourine"</f>
        <v>Nourine</v>
      </c>
      <c r="B10" s="81" t="str">
        <f>"Benyoucef"</f>
        <v>Benyoucef</v>
      </c>
      <c r="C10" s="63" t="str">
        <f>"1977"</f>
        <v>1977</v>
      </c>
      <c r="D10" s="81" t="str">
        <f>"C058 Club de judo Métropolitain inc."</f>
        <v>C058 Club de judo Métropolitain inc.</v>
      </c>
      <c r="E10" s="86">
        <v>24</v>
      </c>
      <c r="F10" s="137">
        <v>6</v>
      </c>
      <c r="G10" s="147">
        <v>33</v>
      </c>
      <c r="H10" s="137">
        <v>5</v>
      </c>
      <c r="I10" s="65">
        <v>92</v>
      </c>
      <c r="J10" s="137">
        <v>6</v>
      </c>
      <c r="K10" s="118">
        <v>34</v>
      </c>
      <c r="L10" s="137">
        <v>7</v>
      </c>
      <c r="M10" s="66">
        <v>42</v>
      </c>
      <c r="N10" s="137">
        <v>6</v>
      </c>
      <c r="O10" s="73">
        <v>30</v>
      </c>
      <c r="P10" s="39">
        <v>7</v>
      </c>
      <c r="Q10" s="56" t="s">
        <v>11</v>
      </c>
    </row>
    <row r="11" spans="1:17" x14ac:dyDescent="0.25">
      <c r="I11" s="17"/>
      <c r="J11" s="17"/>
    </row>
  </sheetData>
  <autoFilter ref="A3:Q10">
    <sortState ref="A4:Q10">
      <sortCondition ref="P3:P10"/>
    </sortState>
  </autoFilter>
  <mergeCells count="1">
    <mergeCell ref="A1:Q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workbookViewId="0">
      <selection activeCell="R33" sqref="R33"/>
    </sheetView>
  </sheetViews>
  <sheetFormatPr baseColWidth="10" defaultRowHeight="15" x14ac:dyDescent="0.25"/>
  <cols>
    <col min="1" max="1" width="17" customWidth="1"/>
    <col min="2" max="2" width="17.85546875" customWidth="1"/>
    <col min="4" max="4" width="45.42578125" style="128" customWidth="1"/>
    <col min="6" max="6" width="5.5703125" customWidth="1"/>
    <col min="8" max="8" width="5.5703125" customWidth="1"/>
    <col min="10" max="10" width="5.5703125" customWidth="1"/>
    <col min="12" max="12" width="5.7109375" customWidth="1"/>
    <col min="14" max="14" width="5.85546875" customWidth="1"/>
    <col min="16" max="28" width="11.42578125" style="11"/>
  </cols>
  <sheetData>
    <row r="1" spans="1:28" s="214" customFormat="1" ht="40.5" customHeight="1" x14ac:dyDescent="0.5">
      <c r="A1" s="214" t="s">
        <v>30</v>
      </c>
    </row>
    <row r="2" spans="1:28" x14ac:dyDescent="0.25">
      <c r="A2" s="29"/>
      <c r="B2" s="29"/>
      <c r="C2" s="29"/>
      <c r="D2" s="155"/>
      <c r="E2" s="124" t="s">
        <v>4</v>
      </c>
      <c r="F2" s="123"/>
      <c r="G2" s="98" t="s">
        <v>15</v>
      </c>
      <c r="H2" s="98"/>
      <c r="I2" s="98" t="s">
        <v>16</v>
      </c>
      <c r="J2" s="98"/>
      <c r="K2" s="98" t="s">
        <v>17</v>
      </c>
      <c r="L2" s="98"/>
      <c r="M2" s="98" t="s">
        <v>18</v>
      </c>
      <c r="N2" s="40"/>
      <c r="O2" s="28"/>
    </row>
    <row r="3" spans="1:28" x14ac:dyDescent="0.25">
      <c r="A3" s="29" t="s">
        <v>0</v>
      </c>
      <c r="B3" s="29" t="s">
        <v>1</v>
      </c>
      <c r="C3" s="29" t="s">
        <v>2</v>
      </c>
      <c r="D3" s="29" t="s">
        <v>3</v>
      </c>
      <c r="E3" s="125" t="s">
        <v>7</v>
      </c>
      <c r="F3" s="125"/>
      <c r="G3" s="125" t="s">
        <v>7</v>
      </c>
      <c r="H3" s="125"/>
      <c r="I3" s="125" t="s">
        <v>7</v>
      </c>
      <c r="J3" s="125"/>
      <c r="K3" s="125" t="s">
        <v>7</v>
      </c>
      <c r="L3" s="125"/>
      <c r="M3" s="125" t="s">
        <v>7</v>
      </c>
      <c r="N3" s="125"/>
      <c r="O3" s="125" t="s">
        <v>8</v>
      </c>
    </row>
    <row r="4" spans="1:28" x14ac:dyDescent="0.25">
      <c r="A4" s="84" t="str">
        <f>"Melody"</f>
        <v>Melody</v>
      </c>
      <c r="B4" s="84" t="str">
        <f>"Grenier"</f>
        <v>Grenier</v>
      </c>
      <c r="C4" s="2" t="str">
        <f>"2008"</f>
        <v>2008</v>
      </c>
      <c r="D4" s="177" t="str">
        <f>"C004 Club de Judo d'Asbestos-Danville"</f>
        <v>C004 Club de Judo d'Asbestos-Danville</v>
      </c>
      <c r="E4" s="102">
        <v>33</v>
      </c>
      <c r="F4" s="185">
        <v>2</v>
      </c>
      <c r="G4" s="102">
        <v>35</v>
      </c>
      <c r="H4" s="185">
        <v>1</v>
      </c>
      <c r="I4" s="110">
        <v>480</v>
      </c>
      <c r="J4" s="185">
        <v>4</v>
      </c>
      <c r="K4" s="102">
        <v>33</v>
      </c>
      <c r="L4" s="185">
        <v>2</v>
      </c>
      <c r="M4" s="102">
        <v>46</v>
      </c>
      <c r="N4" s="185">
        <v>3</v>
      </c>
      <c r="O4" s="161">
        <v>12</v>
      </c>
      <c r="P4" s="191"/>
    </row>
    <row r="5" spans="1:28" x14ac:dyDescent="0.25">
      <c r="A5" s="81" t="str">
        <f>"Leanne"</f>
        <v>Leanne</v>
      </c>
      <c r="B5" s="81" t="str">
        <f>"Dussault"</f>
        <v>Dussault</v>
      </c>
      <c r="C5" s="63" t="str">
        <f>"2006"</f>
        <v>2006</v>
      </c>
      <c r="D5" s="175" t="str">
        <f>"C004 Club de Judo d'Asbestos-Danville"</f>
        <v>C004 Club de Judo d'Asbestos-Danville</v>
      </c>
      <c r="E5" s="129">
        <v>34</v>
      </c>
      <c r="F5" s="179">
        <v>2</v>
      </c>
      <c r="G5" s="106">
        <v>35</v>
      </c>
      <c r="H5" s="179">
        <v>2</v>
      </c>
      <c r="I5" s="106">
        <v>600</v>
      </c>
      <c r="J5" s="179">
        <v>3</v>
      </c>
      <c r="K5" s="106">
        <v>45</v>
      </c>
      <c r="L5" s="178">
        <v>2</v>
      </c>
      <c r="M5" s="106">
        <v>57</v>
      </c>
      <c r="N5" s="179">
        <v>2</v>
      </c>
      <c r="O5" s="131">
        <f>SUM(F5+H5+J5+L5+N5)</f>
        <v>11</v>
      </c>
      <c r="P5" s="191"/>
    </row>
    <row r="6" spans="1:28" x14ac:dyDescent="0.25">
      <c r="A6" s="84" t="str">
        <f>"Charles"</f>
        <v>Charles</v>
      </c>
      <c r="B6" s="84" t="str">
        <f>"Grenier"</f>
        <v>Grenier</v>
      </c>
      <c r="C6" s="2" t="str">
        <f>"2010"</f>
        <v>2010</v>
      </c>
      <c r="D6" s="174" t="str">
        <f>"C004 Club de Judo d'Asbestos-Danville"</f>
        <v>C004 Club de Judo d'Asbestos-Danville</v>
      </c>
      <c r="E6" s="51">
        <v>29</v>
      </c>
      <c r="F6" s="178">
        <v>4</v>
      </c>
      <c r="G6" s="103">
        <v>38</v>
      </c>
      <c r="H6" s="178">
        <v>1</v>
      </c>
      <c r="I6" s="51">
        <v>251</v>
      </c>
      <c r="J6" s="178">
        <v>5</v>
      </c>
      <c r="K6" s="51">
        <v>55</v>
      </c>
      <c r="L6" s="178">
        <v>2</v>
      </c>
      <c r="M6" s="51">
        <v>51</v>
      </c>
      <c r="N6" s="178">
        <v>4</v>
      </c>
      <c r="O6" s="131">
        <f>SUM(F6+H6+J6+L6+N6)</f>
        <v>16</v>
      </c>
      <c r="P6" s="191"/>
    </row>
    <row r="7" spans="1:28" s="171" customFormat="1" x14ac:dyDescent="0.25">
      <c r="A7" s="167"/>
      <c r="B7" s="167"/>
      <c r="C7" s="168"/>
      <c r="D7" s="176"/>
      <c r="E7" s="183"/>
      <c r="F7" s="180"/>
      <c r="G7" s="170"/>
      <c r="H7" s="180"/>
      <c r="I7" s="170"/>
      <c r="J7" s="180"/>
      <c r="K7" s="170"/>
      <c r="L7" s="181"/>
      <c r="M7" s="170"/>
      <c r="N7" s="180"/>
      <c r="O7" s="188"/>
      <c r="P7" s="19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81" t="str">
        <f>"Patrick"</f>
        <v>Patrick</v>
      </c>
      <c r="B8" s="81" t="str">
        <f>"Lam"</f>
        <v>Lam</v>
      </c>
      <c r="C8" s="63" t="str">
        <f>"1977"</f>
        <v>1977</v>
      </c>
      <c r="D8" s="175" t="str">
        <f>"C047 Club de judo Torii"</f>
        <v>C047 Club de judo Torii</v>
      </c>
      <c r="E8" s="51">
        <v>36</v>
      </c>
      <c r="F8" s="179">
        <v>1</v>
      </c>
      <c r="G8" s="51">
        <v>47</v>
      </c>
      <c r="H8" s="179">
        <v>1</v>
      </c>
      <c r="I8" s="51">
        <v>250</v>
      </c>
      <c r="J8" s="179">
        <v>3</v>
      </c>
      <c r="K8" s="51">
        <v>48</v>
      </c>
      <c r="L8" s="179">
        <v>3</v>
      </c>
      <c r="M8" s="106">
        <v>60</v>
      </c>
      <c r="N8" s="179">
        <v>1</v>
      </c>
      <c r="O8" s="72">
        <v>9</v>
      </c>
      <c r="P8" s="191"/>
    </row>
    <row r="9" spans="1:28" s="171" customFormat="1" x14ac:dyDescent="0.25">
      <c r="A9" s="167"/>
      <c r="B9" s="167"/>
      <c r="C9" s="168"/>
      <c r="D9" s="176"/>
      <c r="E9" s="172"/>
      <c r="F9" s="180"/>
      <c r="G9" s="172"/>
      <c r="H9" s="180"/>
      <c r="I9" s="172"/>
      <c r="J9" s="180"/>
      <c r="K9" s="172"/>
      <c r="L9" s="180"/>
      <c r="M9" s="170"/>
      <c r="N9" s="180"/>
      <c r="O9" s="169"/>
      <c r="P9" s="19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x14ac:dyDescent="0.25">
      <c r="A10" s="204" t="str">
        <f>"Maxime"</f>
        <v>Maxime</v>
      </c>
      <c r="B10" s="204" t="str">
        <f>"Lebel"</f>
        <v>Lebel</v>
      </c>
      <c r="C10" s="205" t="str">
        <f>"2002"</f>
        <v>2002</v>
      </c>
      <c r="D10" s="206" t="str">
        <f>"C055 Académie de Judo de Sept-Iles Inc."</f>
        <v>C055 Académie de Judo de Sept-Iles Inc.</v>
      </c>
      <c r="E10" s="108">
        <v>31</v>
      </c>
      <c r="F10" s="179">
        <v>2</v>
      </c>
      <c r="G10" s="74">
        <v>34</v>
      </c>
      <c r="H10" s="179">
        <v>2</v>
      </c>
      <c r="I10" s="74">
        <v>126</v>
      </c>
      <c r="J10" s="179">
        <v>2</v>
      </c>
      <c r="K10" s="106">
        <v>53</v>
      </c>
      <c r="L10" s="179">
        <v>2</v>
      </c>
      <c r="M10" s="106">
        <v>48</v>
      </c>
      <c r="N10" s="179">
        <v>2</v>
      </c>
      <c r="O10" s="200">
        <v>10</v>
      </c>
      <c r="P10" s="191"/>
    </row>
    <row r="11" spans="1:28" x14ac:dyDescent="0.25">
      <c r="A11" s="207" t="str">
        <f>"Liam"</f>
        <v>Liam</v>
      </c>
      <c r="B11" s="207" t="str">
        <f>"Cantin"</f>
        <v>Cantin</v>
      </c>
      <c r="C11" s="208" t="str">
        <f>"2009"</f>
        <v>2009</v>
      </c>
      <c r="D11" s="209" t="str">
        <f>"C055 Académie de Judo de Sept-Iles Inc."</f>
        <v>C055 Académie de Judo de Sept-Iles Inc.</v>
      </c>
      <c r="E11" s="51">
        <v>30</v>
      </c>
      <c r="F11" s="179">
        <v>3</v>
      </c>
      <c r="G11" s="104">
        <v>28</v>
      </c>
      <c r="H11" s="179">
        <v>4</v>
      </c>
      <c r="I11" s="51">
        <v>720</v>
      </c>
      <c r="J11" s="179">
        <v>2</v>
      </c>
      <c r="K11" s="101">
        <v>31</v>
      </c>
      <c r="L11" s="178">
        <v>5</v>
      </c>
      <c r="M11" s="51">
        <v>59</v>
      </c>
      <c r="N11" s="179">
        <v>1</v>
      </c>
      <c r="O11" s="201">
        <f>SUM(F11+H11+J11+L11+N11)</f>
        <v>15</v>
      </c>
      <c r="P11" s="191"/>
    </row>
    <row r="12" spans="1:28" x14ac:dyDescent="0.25">
      <c r="A12" s="207" t="str">
        <f>"Madison"</f>
        <v>Madison</v>
      </c>
      <c r="B12" s="207" t="str">
        <f>"Duchesne"</f>
        <v>Duchesne</v>
      </c>
      <c r="C12" s="208" t="str">
        <f>"2009"</f>
        <v>2009</v>
      </c>
      <c r="D12" s="209" t="str">
        <f>"C055 Académie de Judo de Sept-Iles Inc."</f>
        <v>C055 Académie de Judo de Sept-Iles Inc.</v>
      </c>
      <c r="E12" s="51">
        <v>25</v>
      </c>
      <c r="F12" s="178">
        <v>3</v>
      </c>
      <c r="G12" s="101">
        <v>30</v>
      </c>
      <c r="H12" s="178">
        <v>3</v>
      </c>
      <c r="I12" s="51">
        <v>494</v>
      </c>
      <c r="J12" s="178">
        <v>2</v>
      </c>
      <c r="K12" s="51">
        <v>27</v>
      </c>
      <c r="L12" s="178">
        <v>3</v>
      </c>
      <c r="M12" s="51">
        <v>51</v>
      </c>
      <c r="N12" s="178">
        <v>2</v>
      </c>
      <c r="O12" s="202">
        <v>13</v>
      </c>
      <c r="P12" s="191"/>
    </row>
    <row r="13" spans="1:28" x14ac:dyDescent="0.25">
      <c r="A13" s="204" t="str">
        <f>"Sara-Anne"</f>
        <v>Sara-Anne</v>
      </c>
      <c r="B13" s="204" t="str">
        <f>"Beaudin"</f>
        <v>Beaudin</v>
      </c>
      <c r="C13" s="205" t="str">
        <f>"2007"</f>
        <v>2007</v>
      </c>
      <c r="D13" s="206" t="str">
        <f>"C055 Académie de Judo de Sept-Iles Inc."</f>
        <v>C055 Académie de Judo de Sept-Iles Inc.</v>
      </c>
      <c r="E13" s="108">
        <v>29</v>
      </c>
      <c r="F13" s="178">
        <v>6</v>
      </c>
      <c r="G13" s="106">
        <v>44</v>
      </c>
      <c r="H13" s="178">
        <v>1</v>
      </c>
      <c r="I13" s="106">
        <v>1800</v>
      </c>
      <c r="J13" s="178">
        <v>2</v>
      </c>
      <c r="K13" s="106">
        <v>42</v>
      </c>
      <c r="L13" s="178">
        <v>3</v>
      </c>
      <c r="M13" s="106">
        <v>58</v>
      </c>
      <c r="N13" s="178">
        <v>1</v>
      </c>
      <c r="O13" s="201">
        <f>SUM(F13+H13+J13+L13+N13)</f>
        <v>13</v>
      </c>
      <c r="P13" s="191"/>
    </row>
    <row r="14" spans="1:28" x14ac:dyDescent="0.25">
      <c r="A14" s="204" t="str">
        <f>"Luis"</f>
        <v>Luis</v>
      </c>
      <c r="B14" s="204" t="str">
        <f>"Bernardo"</f>
        <v>Bernardo</v>
      </c>
      <c r="C14" s="205" t="str">
        <f>"1987"</f>
        <v>1987</v>
      </c>
      <c r="D14" s="206" t="str">
        <f>"C055 Académie de Judo de Sept-Iles Inc."</f>
        <v>C055 Académie de Judo de Sept-Iles Inc.</v>
      </c>
      <c r="E14" s="108">
        <v>26</v>
      </c>
      <c r="F14" s="179">
        <v>5</v>
      </c>
      <c r="G14" s="109">
        <v>32</v>
      </c>
      <c r="H14" s="179">
        <v>6</v>
      </c>
      <c r="I14" s="106">
        <v>303</v>
      </c>
      <c r="J14" s="179">
        <v>1</v>
      </c>
      <c r="K14" s="106">
        <v>62</v>
      </c>
      <c r="L14" s="179">
        <v>2</v>
      </c>
      <c r="M14" s="106">
        <v>43</v>
      </c>
      <c r="N14" s="179">
        <v>5</v>
      </c>
      <c r="O14" s="200">
        <v>19</v>
      </c>
      <c r="P14" s="191"/>
    </row>
    <row r="15" spans="1:28" x14ac:dyDescent="0.25">
      <c r="A15" s="204" t="s">
        <v>6</v>
      </c>
      <c r="B15" s="207" t="s">
        <v>5</v>
      </c>
      <c r="C15" s="208">
        <v>2009</v>
      </c>
      <c r="D15" s="209" t="str">
        <f>"C055 Académie de Judo de Sept-Iles Inc."</f>
        <v>C055 Académie de Judo de Sept-Iles Inc.</v>
      </c>
      <c r="E15" s="51">
        <v>24</v>
      </c>
      <c r="F15" s="178">
        <v>4</v>
      </c>
      <c r="G15" s="48">
        <v>22</v>
      </c>
      <c r="H15" s="178">
        <v>5</v>
      </c>
      <c r="I15" s="51">
        <v>490</v>
      </c>
      <c r="J15" s="178">
        <v>3</v>
      </c>
      <c r="K15" s="103">
        <v>15</v>
      </c>
      <c r="L15" s="178">
        <v>4</v>
      </c>
      <c r="M15" s="51">
        <v>41</v>
      </c>
      <c r="N15" s="178">
        <v>4</v>
      </c>
      <c r="O15" s="202">
        <v>20</v>
      </c>
      <c r="P15" s="191"/>
    </row>
    <row r="16" spans="1:28" x14ac:dyDescent="0.25">
      <c r="A16" s="207" t="str">
        <f>"Massil"</f>
        <v>Massil</v>
      </c>
      <c r="B16" s="207" t="str">
        <f>"Cisca-Zerrougoi"</f>
        <v>Cisca-Zerrougoi</v>
      </c>
      <c r="C16" s="208" t="str">
        <f>"2009"</f>
        <v>2009</v>
      </c>
      <c r="D16" s="209" t="str">
        <f>"C055 Académie de Judo de Sept-Iles Inc."</f>
        <v>C055 Académie de Judo de Sept-Iles Inc.</v>
      </c>
      <c r="E16" s="51">
        <v>28</v>
      </c>
      <c r="F16" s="178">
        <v>5</v>
      </c>
      <c r="G16" s="104">
        <v>26</v>
      </c>
      <c r="H16" s="178">
        <v>6</v>
      </c>
      <c r="I16" s="51">
        <v>303</v>
      </c>
      <c r="J16" s="178">
        <v>4</v>
      </c>
      <c r="K16" s="51">
        <v>47</v>
      </c>
      <c r="L16" s="178">
        <v>3</v>
      </c>
      <c r="M16" s="51">
        <v>47</v>
      </c>
      <c r="N16" s="178">
        <v>6</v>
      </c>
      <c r="O16" s="201">
        <f>SUM(F16+H16+J16+L16+N16)</f>
        <v>24</v>
      </c>
      <c r="P16" s="191"/>
    </row>
    <row r="17" spans="1:28" x14ac:dyDescent="0.25">
      <c r="A17" s="207" t="str">
        <f>"Olivier"</f>
        <v>Olivier</v>
      </c>
      <c r="B17" s="207" t="str">
        <f>"Rodgers"</f>
        <v>Rodgers</v>
      </c>
      <c r="C17" s="208" t="str">
        <f>"2009"</f>
        <v>2009</v>
      </c>
      <c r="D17" s="209" t="str">
        <f>"C055 Académie de Judo de Sept-Iles Inc."</f>
        <v>C055 Académie de Judo de Sept-Iles Inc.</v>
      </c>
      <c r="E17" s="51">
        <v>27</v>
      </c>
      <c r="F17" s="178">
        <v>6</v>
      </c>
      <c r="G17" s="104">
        <v>33</v>
      </c>
      <c r="H17" s="178">
        <v>3</v>
      </c>
      <c r="I17" s="51">
        <v>503</v>
      </c>
      <c r="J17" s="178">
        <v>3</v>
      </c>
      <c r="K17" s="101">
        <v>30</v>
      </c>
      <c r="L17" s="178">
        <v>6</v>
      </c>
      <c r="M17" s="51">
        <v>44</v>
      </c>
      <c r="N17" s="178">
        <v>7</v>
      </c>
      <c r="O17" s="201">
        <f>SUM(F17+H17+J17+L17+N17)</f>
        <v>25</v>
      </c>
      <c r="P17" s="191"/>
    </row>
    <row r="18" spans="1:28" x14ac:dyDescent="0.25">
      <c r="A18" s="204" t="str">
        <f>"Florence"</f>
        <v>Florence</v>
      </c>
      <c r="B18" s="204" t="str">
        <f>"Ward"</f>
        <v>Ward</v>
      </c>
      <c r="C18" s="205" t="str">
        <f>"2007"</f>
        <v>2007</v>
      </c>
      <c r="D18" s="206" t="str">
        <f>"C055 Académie de Judo de Sept-Iles Inc."</f>
        <v>C055 Académie de Judo de Sept-Iles Inc.</v>
      </c>
      <c r="E18" s="109">
        <v>22</v>
      </c>
      <c r="F18" s="178">
        <v>7</v>
      </c>
      <c r="G18" s="50">
        <v>23</v>
      </c>
      <c r="H18" s="178">
        <v>6</v>
      </c>
      <c r="I18" s="108">
        <v>223</v>
      </c>
      <c r="J18" s="178">
        <v>4</v>
      </c>
      <c r="K18" s="106">
        <v>34</v>
      </c>
      <c r="L18" s="178">
        <v>4</v>
      </c>
      <c r="M18" s="106">
        <v>49</v>
      </c>
      <c r="N18" s="178">
        <v>4</v>
      </c>
      <c r="O18" s="201">
        <f>SUM(F18+H18+J18+L18+N18)</f>
        <v>25</v>
      </c>
      <c r="P18" s="191"/>
    </row>
    <row r="19" spans="1:28" ht="15.75" thickBot="1" x14ac:dyDescent="0.3">
      <c r="A19" s="210" t="str">
        <f>"Charles"</f>
        <v>Charles</v>
      </c>
      <c r="B19" s="210" t="str">
        <f>"Deschenes-Heon"</f>
        <v>Deschenes-Heon</v>
      </c>
      <c r="C19" s="211" t="str">
        <f>"2009"</f>
        <v>2009</v>
      </c>
      <c r="D19" s="212" t="str">
        <f>"C055 Académie de Judo de Sept-Iles Inc."</f>
        <v>C055 Académie de Judo de Sept-Iles Inc.</v>
      </c>
      <c r="E19" s="194">
        <v>26</v>
      </c>
      <c r="F19" s="195">
        <v>7</v>
      </c>
      <c r="G19" s="196">
        <v>26</v>
      </c>
      <c r="H19" s="195">
        <v>7</v>
      </c>
      <c r="I19" s="197">
        <v>185</v>
      </c>
      <c r="J19" s="198">
        <v>7</v>
      </c>
      <c r="K19" s="196">
        <v>24</v>
      </c>
      <c r="L19" s="195">
        <v>7</v>
      </c>
      <c r="M19" s="199">
        <v>52</v>
      </c>
      <c r="N19" s="195">
        <v>3</v>
      </c>
      <c r="O19" s="203">
        <f>SUM(F19+H19+J19+L19+N19)</f>
        <v>31</v>
      </c>
      <c r="P19" s="191"/>
    </row>
    <row r="20" spans="1:28" ht="15.75" thickTop="1" x14ac:dyDescent="0.25">
      <c r="A20" s="52" t="str">
        <f>"Philippe"</f>
        <v>Philippe</v>
      </c>
      <c r="B20" s="52" t="str">
        <f>"Lebrun"</f>
        <v>Lebrun</v>
      </c>
      <c r="C20" s="192" t="str">
        <f>"2007"</f>
        <v>2007</v>
      </c>
      <c r="D20" s="193" t="str">
        <f>"C055 Académie de Judo de Sept-Iles Inc."</f>
        <v>C055 Académie de Judo de Sept-Iles Inc.</v>
      </c>
      <c r="E20" s="109">
        <v>26</v>
      </c>
      <c r="F20" s="179">
        <v>15</v>
      </c>
      <c r="G20" s="50">
        <v>30</v>
      </c>
      <c r="H20" s="179">
        <v>6</v>
      </c>
      <c r="I20" s="106">
        <v>1201</v>
      </c>
      <c r="J20" s="179">
        <v>4</v>
      </c>
      <c r="K20" s="106">
        <v>61</v>
      </c>
      <c r="L20" s="178">
        <v>6</v>
      </c>
      <c r="M20" s="106">
        <v>61</v>
      </c>
      <c r="N20" s="179">
        <v>2</v>
      </c>
      <c r="O20" s="131">
        <f>SUM(F20+H20+J20+L20+N20)</f>
        <v>33</v>
      </c>
      <c r="P20" s="191"/>
    </row>
    <row r="21" spans="1:28" x14ac:dyDescent="0.25">
      <c r="A21" s="81" t="str">
        <f>"Raphaël"</f>
        <v>Raphaël</v>
      </c>
      <c r="B21" s="81" t="str">
        <f>"Cyr"</f>
        <v>Cyr</v>
      </c>
      <c r="C21" s="63" t="str">
        <f>"2007"</f>
        <v>2007</v>
      </c>
      <c r="D21" s="175" t="str">
        <f>"C055 Académie de Judo de Sept-Iles Inc."</f>
        <v>C055 Académie de Judo de Sept-Iles Inc.</v>
      </c>
      <c r="E21" s="106">
        <v>35</v>
      </c>
      <c r="F21" s="179">
        <v>2</v>
      </c>
      <c r="G21" s="109">
        <v>35</v>
      </c>
      <c r="H21" s="179">
        <v>3</v>
      </c>
      <c r="I21" s="50">
        <v>43</v>
      </c>
      <c r="J21" s="179">
        <v>16</v>
      </c>
      <c r="K21" s="108">
        <v>32</v>
      </c>
      <c r="L21" s="179">
        <v>11</v>
      </c>
      <c r="M21" s="106">
        <v>54</v>
      </c>
      <c r="N21" s="179">
        <v>9</v>
      </c>
      <c r="O21" s="131">
        <f>SUM(F21+H21+J21+L21+N21)</f>
        <v>41</v>
      </c>
      <c r="P21" s="191"/>
    </row>
    <row r="22" spans="1:28" x14ac:dyDescent="0.25">
      <c r="A22" s="81" t="str">
        <f>"Gabriel"</f>
        <v>Gabriel</v>
      </c>
      <c r="B22" s="81" t="str">
        <f>"Martin"</f>
        <v>Martin</v>
      </c>
      <c r="C22" s="63" t="str">
        <f>"2005"</f>
        <v>2005</v>
      </c>
      <c r="D22" s="175" t="str">
        <f>"C055 Académie de Judo de Sept-Iles Inc."</f>
        <v>C055 Académie de Judo de Sept-Iles Inc.</v>
      </c>
      <c r="E22" s="108">
        <v>31</v>
      </c>
      <c r="F22" s="179">
        <v>7</v>
      </c>
      <c r="G22" s="74">
        <v>28</v>
      </c>
      <c r="H22" s="179">
        <v>10</v>
      </c>
      <c r="I22" s="106">
        <v>661</v>
      </c>
      <c r="J22" s="179">
        <v>6</v>
      </c>
      <c r="K22" s="106">
        <v>48</v>
      </c>
      <c r="L22" s="178">
        <v>10</v>
      </c>
      <c r="M22" s="106">
        <v>48</v>
      </c>
      <c r="N22" s="179">
        <v>12</v>
      </c>
      <c r="O22" s="131">
        <f>SUM(F22+H22+J22+L22+N22)</f>
        <v>45</v>
      </c>
      <c r="P22" s="191"/>
    </row>
    <row r="23" spans="1:28" x14ac:dyDescent="0.25">
      <c r="A23" s="81" t="str">
        <f>"Dominic"</f>
        <v>Dominic</v>
      </c>
      <c r="B23" s="81" t="str">
        <f>"Guerault"</f>
        <v>Guerault</v>
      </c>
      <c r="C23" s="63" t="str">
        <f>"2007"</f>
        <v>2007</v>
      </c>
      <c r="D23" s="175" t="str">
        <f>"C055 Académie de Judo de Sept-Iles Inc."</f>
        <v>C055 Académie de Judo de Sept-Iles Inc.</v>
      </c>
      <c r="E23" s="108">
        <v>30</v>
      </c>
      <c r="F23" s="179">
        <v>8</v>
      </c>
      <c r="G23" s="50">
        <v>25</v>
      </c>
      <c r="H23" s="179">
        <v>12</v>
      </c>
      <c r="I23" s="106">
        <v>385</v>
      </c>
      <c r="J23" s="178">
        <v>12</v>
      </c>
      <c r="K23" s="108">
        <v>32</v>
      </c>
      <c r="L23" s="179">
        <v>11</v>
      </c>
      <c r="M23" s="106">
        <v>56</v>
      </c>
      <c r="N23" s="179">
        <v>7</v>
      </c>
      <c r="O23" s="131">
        <f>SUM(F23+H23+J23+L23+N23)</f>
        <v>50</v>
      </c>
      <c r="P23" s="191"/>
    </row>
    <row r="24" spans="1:28" x14ac:dyDescent="0.25">
      <c r="A24" s="81" t="str">
        <f>"Noah"</f>
        <v>Noah</v>
      </c>
      <c r="B24" s="81" t="str">
        <f>"Drolet"</f>
        <v>Drolet</v>
      </c>
      <c r="C24" s="63" t="str">
        <f>"2007"</f>
        <v>2007</v>
      </c>
      <c r="D24" s="175" t="str">
        <f>"C055 Académie de Judo de Sept-Iles Inc."</f>
        <v>C055 Académie de Judo de Sept-Iles Inc.</v>
      </c>
      <c r="E24" s="109">
        <v>28</v>
      </c>
      <c r="F24" s="179">
        <v>12</v>
      </c>
      <c r="G24" s="50">
        <v>25</v>
      </c>
      <c r="H24" s="179">
        <v>12</v>
      </c>
      <c r="I24" s="106">
        <v>435</v>
      </c>
      <c r="J24" s="179">
        <v>10</v>
      </c>
      <c r="K24" s="50">
        <v>15</v>
      </c>
      <c r="L24" s="179">
        <v>15</v>
      </c>
      <c r="M24" s="106">
        <v>55</v>
      </c>
      <c r="N24" s="179">
        <v>8</v>
      </c>
      <c r="O24" s="131">
        <f>SUM(F24+H24+J24+L24+N24)</f>
        <v>57</v>
      </c>
      <c r="P24" s="191"/>
    </row>
    <row r="25" spans="1:28" x14ac:dyDescent="0.25">
      <c r="A25" s="81" t="str">
        <f>"Jacob"</f>
        <v>Jacob</v>
      </c>
      <c r="B25" s="81" t="str">
        <f>"Marcoux"</f>
        <v>Marcoux</v>
      </c>
      <c r="C25" s="63" t="str">
        <f>"2006"</f>
        <v>2006</v>
      </c>
      <c r="D25" s="175" t="str">
        <f>"C055 Académie de Judo de Sept-Iles Inc."</f>
        <v>C055 Académie de Judo de Sept-Iles Inc.</v>
      </c>
      <c r="E25" s="103">
        <v>28</v>
      </c>
      <c r="F25" s="178">
        <v>12</v>
      </c>
      <c r="G25" s="74">
        <v>26</v>
      </c>
      <c r="H25" s="178">
        <v>11</v>
      </c>
      <c r="I25" s="109">
        <v>214</v>
      </c>
      <c r="J25" s="178">
        <v>14</v>
      </c>
      <c r="K25" s="106">
        <v>56</v>
      </c>
      <c r="L25" s="178">
        <v>9</v>
      </c>
      <c r="M25" s="108">
        <v>43</v>
      </c>
      <c r="N25" s="178">
        <v>14</v>
      </c>
      <c r="O25" s="131">
        <f>SUM(F25+H25+J25+L25+N25)</f>
        <v>60</v>
      </c>
      <c r="P25" s="191"/>
    </row>
    <row r="26" spans="1:28" x14ac:dyDescent="0.25">
      <c r="A26" s="81" t="str">
        <f>"Edouard"</f>
        <v>Edouard</v>
      </c>
      <c r="B26" s="81" t="str">
        <f>"Cotte"</f>
        <v>Cotte</v>
      </c>
      <c r="C26" s="63" t="str">
        <f>"2006"</f>
        <v>2006</v>
      </c>
      <c r="D26" s="175" t="str">
        <f>"C055 Académie de Judo de Sept-Iles Inc."</f>
        <v>C055 Académie de Judo de Sept-Iles Inc.</v>
      </c>
      <c r="E26" s="50">
        <v>23</v>
      </c>
      <c r="F26" s="179">
        <v>16</v>
      </c>
      <c r="G26" s="50">
        <v>25</v>
      </c>
      <c r="H26" s="179">
        <v>12</v>
      </c>
      <c r="I26" s="109">
        <v>220</v>
      </c>
      <c r="J26" s="179">
        <v>13</v>
      </c>
      <c r="K26" s="50">
        <v>20</v>
      </c>
      <c r="L26" s="179">
        <v>14</v>
      </c>
      <c r="M26" s="50">
        <v>35</v>
      </c>
      <c r="N26" s="179">
        <v>16</v>
      </c>
      <c r="O26" s="131">
        <f>SUM(F26+H26+J26+L26+N26)</f>
        <v>71</v>
      </c>
      <c r="P26" s="191"/>
    </row>
    <row r="27" spans="1:28" ht="15.75" thickBot="1" x14ac:dyDescent="0.3">
      <c r="A27" s="81" t="str">
        <f>"Lucas"</f>
        <v>Lucas</v>
      </c>
      <c r="B27" s="81" t="str">
        <f>"Gauthier"</f>
        <v>Gauthier</v>
      </c>
      <c r="C27" s="63" t="str">
        <f>"2007"</f>
        <v>2007</v>
      </c>
      <c r="D27" s="175" t="str">
        <f>"C055 Académie de Judo de Sept-Iles Inc."</f>
        <v>C055 Académie de Judo de Sept-Iles Inc.</v>
      </c>
      <c r="E27" s="109">
        <v>27</v>
      </c>
      <c r="F27" s="179">
        <v>14</v>
      </c>
      <c r="G27" s="104">
        <v>24</v>
      </c>
      <c r="H27" s="179">
        <v>15</v>
      </c>
      <c r="I27" s="104">
        <v>205</v>
      </c>
      <c r="J27" s="178">
        <v>15</v>
      </c>
      <c r="K27" s="104">
        <v>21</v>
      </c>
      <c r="L27" s="179">
        <v>13</v>
      </c>
      <c r="M27" s="103">
        <v>40</v>
      </c>
      <c r="N27" s="179">
        <v>15</v>
      </c>
      <c r="O27" s="131">
        <f>SUM(F27+H27+J27+L27+N27)</f>
        <v>72</v>
      </c>
      <c r="P27" s="191"/>
    </row>
    <row r="28" spans="1:28" ht="24" thickBot="1" x14ac:dyDescent="0.4">
      <c r="A28" s="167"/>
      <c r="B28" s="190" t="s">
        <v>27</v>
      </c>
      <c r="C28" s="168"/>
      <c r="D28" s="189" t="s">
        <v>29</v>
      </c>
      <c r="E28" s="170"/>
      <c r="F28" s="180"/>
      <c r="G28" s="170"/>
      <c r="H28" s="180"/>
      <c r="I28" s="170"/>
      <c r="J28" s="180"/>
      <c r="K28" s="170"/>
      <c r="L28" s="180"/>
      <c r="M28" s="170"/>
      <c r="N28" s="180"/>
      <c r="O28" s="213">
        <f>SUM(O10:O19)</f>
        <v>195</v>
      </c>
      <c r="P28" s="191" t="s">
        <v>31</v>
      </c>
    </row>
    <row r="29" spans="1:28" s="171" customFormat="1" x14ac:dyDescent="0.25">
      <c r="A29" s="81" t="str">
        <f>"Frederique"</f>
        <v>Frederique</v>
      </c>
      <c r="B29" s="81" t="str">
        <f>"Lavigne"</f>
        <v>Lavigne</v>
      </c>
      <c r="C29" s="63" t="str">
        <f>"2006"</f>
        <v>2006</v>
      </c>
      <c r="D29" s="175" t="str">
        <f>"C058 Club de judo Métropolitain inc."</f>
        <v>C058 Club de judo Métropolitain inc.</v>
      </c>
      <c r="E29" s="106">
        <v>30</v>
      </c>
      <c r="F29" s="178">
        <v>5</v>
      </c>
      <c r="G29" s="106">
        <v>35</v>
      </c>
      <c r="H29" s="178">
        <v>2</v>
      </c>
      <c r="I29" s="74">
        <v>170</v>
      </c>
      <c r="J29" s="178">
        <v>5</v>
      </c>
      <c r="K29" s="108">
        <v>20</v>
      </c>
      <c r="L29" s="178">
        <v>5</v>
      </c>
      <c r="M29" s="106">
        <v>46</v>
      </c>
      <c r="N29" s="178">
        <v>7</v>
      </c>
      <c r="O29" s="131">
        <f>SUM(F29+H29+J29+L29+N29)</f>
        <v>24</v>
      </c>
      <c r="P29" s="19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x14ac:dyDescent="0.25">
      <c r="A30" s="81" t="str">
        <f>"Nourine"</f>
        <v>Nourine</v>
      </c>
      <c r="B30" s="81" t="str">
        <f>"Benyoucef"</f>
        <v>Benyoucef</v>
      </c>
      <c r="C30" s="63" t="str">
        <f>"1977"</f>
        <v>1977</v>
      </c>
      <c r="D30" s="175" t="str">
        <f>"C058 Club de judo Métropolitain inc."</f>
        <v>C058 Club de judo Métropolitain inc.</v>
      </c>
      <c r="E30" s="109">
        <v>24</v>
      </c>
      <c r="F30" s="179">
        <v>6</v>
      </c>
      <c r="G30" s="103">
        <v>33</v>
      </c>
      <c r="H30" s="179">
        <v>5</v>
      </c>
      <c r="I30" s="104">
        <v>92</v>
      </c>
      <c r="J30" s="179">
        <v>6</v>
      </c>
      <c r="K30" s="101">
        <v>34</v>
      </c>
      <c r="L30" s="179">
        <v>7</v>
      </c>
      <c r="M30" s="51">
        <v>42</v>
      </c>
      <c r="N30" s="179">
        <v>6</v>
      </c>
      <c r="O30" s="72">
        <v>30</v>
      </c>
      <c r="P30" s="191"/>
    </row>
    <row r="31" spans="1:28" s="171" customFormat="1" x14ac:dyDescent="0.25">
      <c r="A31" s="167"/>
      <c r="B31" s="167"/>
      <c r="C31" s="168"/>
      <c r="D31" s="176"/>
      <c r="E31" s="170"/>
      <c r="F31" s="180"/>
      <c r="G31" s="172"/>
      <c r="H31" s="180"/>
      <c r="I31" s="172"/>
      <c r="J31" s="180"/>
      <c r="K31" s="172"/>
      <c r="L31" s="180"/>
      <c r="M31" s="172"/>
      <c r="N31" s="180"/>
      <c r="O31" s="169"/>
      <c r="P31" s="19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x14ac:dyDescent="0.25">
      <c r="A32" s="81" t="str">
        <f>"Christopher"</f>
        <v>Christopher</v>
      </c>
      <c r="B32" s="81" t="str">
        <f>"Pelletier"</f>
        <v>Pelletier</v>
      </c>
      <c r="C32" s="63" t="str">
        <f>"1993"</f>
        <v>1993</v>
      </c>
      <c r="D32" s="175" t="str">
        <f>"C094 Club de judo D'Amqui"</f>
        <v>C094 Club de judo D'Amqui</v>
      </c>
      <c r="E32" s="106">
        <v>35</v>
      </c>
      <c r="F32" s="179">
        <v>1</v>
      </c>
      <c r="G32" s="106">
        <v>48</v>
      </c>
      <c r="H32" s="179">
        <v>1</v>
      </c>
      <c r="I32" s="51">
        <v>309</v>
      </c>
      <c r="J32" s="179">
        <v>1</v>
      </c>
      <c r="K32" s="51">
        <v>60</v>
      </c>
      <c r="L32" s="179">
        <v>1</v>
      </c>
      <c r="M32" s="106">
        <v>62</v>
      </c>
      <c r="N32" s="179">
        <v>1</v>
      </c>
      <c r="O32" s="72">
        <v>5</v>
      </c>
      <c r="P32" s="191"/>
    </row>
    <row r="33" spans="1:28" x14ac:dyDescent="0.25">
      <c r="A33" s="81" t="str">
        <f>"Mathieu"</f>
        <v>Mathieu</v>
      </c>
      <c r="B33" s="81" t="str">
        <f>"Turcotte"</f>
        <v>Turcotte</v>
      </c>
      <c r="C33" s="63" t="str">
        <f>"1980"</f>
        <v>1980</v>
      </c>
      <c r="D33" s="175" t="str">
        <f>"C094 Club de judo D'Amqui"</f>
        <v>C094 Club de judo D'Amqui</v>
      </c>
      <c r="E33" s="51">
        <v>33</v>
      </c>
      <c r="F33" s="179">
        <v>2</v>
      </c>
      <c r="G33" s="51">
        <v>45</v>
      </c>
      <c r="H33" s="179">
        <v>2</v>
      </c>
      <c r="I33" s="104">
        <v>153</v>
      </c>
      <c r="J33" s="179">
        <v>4</v>
      </c>
      <c r="K33" s="51">
        <v>63</v>
      </c>
      <c r="L33" s="179">
        <v>1</v>
      </c>
      <c r="M33" s="51">
        <v>59</v>
      </c>
      <c r="N33" s="179">
        <v>2</v>
      </c>
      <c r="O33" s="72">
        <v>11</v>
      </c>
      <c r="P33" s="191"/>
    </row>
    <row r="34" spans="1:28" s="171" customFormat="1" x14ac:dyDescent="0.25">
      <c r="A34" s="167"/>
      <c r="B34" s="167"/>
      <c r="C34" s="168"/>
      <c r="D34" s="176"/>
      <c r="E34" s="172"/>
      <c r="F34" s="180"/>
      <c r="G34" s="172"/>
      <c r="H34" s="180"/>
      <c r="I34" s="172"/>
      <c r="J34" s="180"/>
      <c r="K34" s="172"/>
      <c r="L34" s="180"/>
      <c r="M34" s="172"/>
      <c r="N34" s="180"/>
      <c r="O34" s="169"/>
      <c r="P34" s="19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x14ac:dyDescent="0.25">
      <c r="A35" s="81" t="str">
        <f>"Laurence"</f>
        <v>Laurence</v>
      </c>
      <c r="B35" s="81" t="str">
        <f>"Biron"</f>
        <v>Biron</v>
      </c>
      <c r="C35" s="85" t="str">
        <f>"2003"</f>
        <v>2003</v>
      </c>
      <c r="D35" s="175" t="str">
        <f>"C170 Club de judo de Varennes"</f>
        <v>C170 Club de judo de Varennes</v>
      </c>
      <c r="E35" s="106">
        <v>44</v>
      </c>
      <c r="F35" s="179">
        <v>1</v>
      </c>
      <c r="G35" s="106">
        <v>39</v>
      </c>
      <c r="H35" s="179">
        <v>1</v>
      </c>
      <c r="I35" s="106">
        <v>303</v>
      </c>
      <c r="J35" s="179">
        <v>1</v>
      </c>
      <c r="K35" s="159">
        <v>57</v>
      </c>
      <c r="L35" s="182">
        <v>1</v>
      </c>
      <c r="M35" s="159">
        <v>64</v>
      </c>
      <c r="N35" s="182">
        <v>1</v>
      </c>
      <c r="O35" s="72">
        <v>5</v>
      </c>
      <c r="P35" s="191"/>
    </row>
    <row r="36" spans="1:28" x14ac:dyDescent="0.25">
      <c r="A36" s="81" t="str">
        <f>"Joliane"</f>
        <v>Joliane</v>
      </c>
      <c r="B36" s="81" t="str">
        <f>"L.-Melancon"</f>
        <v>L.-Melancon</v>
      </c>
      <c r="C36" s="63" t="str">
        <f>"1986"</f>
        <v>1986</v>
      </c>
      <c r="D36" s="175" t="str">
        <f>"C170 Club de judo de Varennes"</f>
        <v>C170 Club de judo de Varennes</v>
      </c>
      <c r="E36" s="129">
        <v>30</v>
      </c>
      <c r="F36" s="179">
        <v>1</v>
      </c>
      <c r="G36" s="158">
        <v>29</v>
      </c>
      <c r="H36" s="179">
        <v>1</v>
      </c>
      <c r="I36" s="108">
        <v>180</v>
      </c>
      <c r="J36" s="179">
        <v>1</v>
      </c>
      <c r="K36" s="106">
        <v>45</v>
      </c>
      <c r="L36" s="179">
        <v>1</v>
      </c>
      <c r="M36" s="106">
        <v>46</v>
      </c>
      <c r="N36" s="179">
        <v>1</v>
      </c>
      <c r="O36" s="72">
        <v>5</v>
      </c>
      <c r="P36" s="191"/>
    </row>
    <row r="37" spans="1:28" x14ac:dyDescent="0.25">
      <c r="A37" s="81" t="str">
        <f>"Julien"</f>
        <v>Julien</v>
      </c>
      <c r="B37" s="81" t="str">
        <f>"Paradis"</f>
        <v>Paradis</v>
      </c>
      <c r="C37" s="63" t="str">
        <f>"1979"</f>
        <v>1979</v>
      </c>
      <c r="D37" s="175" t="str">
        <f>"C170 Club de judo de Varennes"</f>
        <v>C170 Club de judo de Varennes</v>
      </c>
      <c r="E37" s="51">
        <v>32</v>
      </c>
      <c r="F37" s="179">
        <v>3</v>
      </c>
      <c r="G37" s="101">
        <v>39</v>
      </c>
      <c r="H37" s="179">
        <v>4</v>
      </c>
      <c r="I37" s="51">
        <v>278</v>
      </c>
      <c r="J37" s="179">
        <v>2</v>
      </c>
      <c r="K37" s="51">
        <v>42</v>
      </c>
      <c r="L37" s="179">
        <v>6</v>
      </c>
      <c r="M37" s="106">
        <v>55</v>
      </c>
      <c r="N37" s="179">
        <v>3</v>
      </c>
      <c r="O37" s="72">
        <v>18</v>
      </c>
      <c r="P37" s="191"/>
    </row>
    <row r="38" spans="1:28" s="171" customFormat="1" x14ac:dyDescent="0.25">
      <c r="A38" s="167"/>
      <c r="B38" s="167"/>
      <c r="C38" s="168"/>
      <c r="D38" s="176"/>
      <c r="E38" s="172"/>
      <c r="F38" s="180"/>
      <c r="G38" s="172"/>
      <c r="H38" s="180"/>
      <c r="I38" s="172"/>
      <c r="J38" s="180"/>
      <c r="K38" s="172"/>
      <c r="L38" s="180"/>
      <c r="M38" s="170"/>
      <c r="N38" s="180"/>
      <c r="O38" s="169"/>
      <c r="P38" s="19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x14ac:dyDescent="0.25">
      <c r="A39" s="81" t="str">
        <f>"Maika"</f>
        <v>Maika</v>
      </c>
      <c r="B39" s="81" t="str">
        <f>"Perron"</f>
        <v>Perron</v>
      </c>
      <c r="C39" s="63" t="str">
        <f>"2007"</f>
        <v>2007</v>
      </c>
      <c r="D39" s="175" t="str">
        <f>"C279 Judo Blainville"</f>
        <v>C279 Judo Blainville</v>
      </c>
      <c r="E39" s="129">
        <v>32</v>
      </c>
      <c r="F39" s="179">
        <v>4</v>
      </c>
      <c r="G39" s="109">
        <v>26</v>
      </c>
      <c r="H39" s="179">
        <v>5</v>
      </c>
      <c r="I39" s="104">
        <v>120</v>
      </c>
      <c r="J39" s="178">
        <v>7</v>
      </c>
      <c r="K39" s="48">
        <v>0</v>
      </c>
      <c r="L39" s="179">
        <v>7</v>
      </c>
      <c r="M39" s="51">
        <v>49</v>
      </c>
      <c r="N39" s="179">
        <v>4</v>
      </c>
      <c r="O39" s="131">
        <f>SUM(F39+H39+J39+L39+N39)</f>
        <v>27</v>
      </c>
      <c r="P39" s="191"/>
    </row>
    <row r="40" spans="1:28" x14ac:dyDescent="0.25">
      <c r="A40" s="81" t="str">
        <f>"Tristan"</f>
        <v>Tristan</v>
      </c>
      <c r="B40" s="81" t="str">
        <f>"Perron"</f>
        <v>Perron</v>
      </c>
      <c r="C40" s="63" t="str">
        <f>"2006"</f>
        <v>2006</v>
      </c>
      <c r="D40" s="175" t="str">
        <f>"C279 Judo Blainville"</f>
        <v>C279 Judo Blainville</v>
      </c>
      <c r="E40" s="51">
        <v>35</v>
      </c>
      <c r="F40" s="178">
        <v>2</v>
      </c>
      <c r="G40" s="104">
        <v>32</v>
      </c>
      <c r="H40" s="178">
        <v>5</v>
      </c>
      <c r="I40" s="51">
        <v>616</v>
      </c>
      <c r="J40" s="178">
        <v>7</v>
      </c>
      <c r="K40" s="104">
        <v>0</v>
      </c>
      <c r="L40" s="178">
        <v>16</v>
      </c>
      <c r="M40" s="51">
        <v>53</v>
      </c>
      <c r="N40" s="178">
        <v>10</v>
      </c>
      <c r="O40" s="131">
        <f>SUM(F40+H40+J40+L40+N40)</f>
        <v>40</v>
      </c>
      <c r="P40" s="191"/>
    </row>
    <row r="41" spans="1:28" s="171" customFormat="1" x14ac:dyDescent="0.25">
      <c r="A41" s="167"/>
      <c r="B41" s="167"/>
      <c r="C41" s="168"/>
      <c r="D41" s="176"/>
      <c r="E41" s="172"/>
      <c r="F41" s="181"/>
      <c r="G41" s="172"/>
      <c r="H41" s="181"/>
      <c r="I41" s="172"/>
      <c r="J41" s="181"/>
      <c r="K41" s="172"/>
      <c r="L41" s="181"/>
      <c r="M41" s="172"/>
      <c r="N41" s="181"/>
      <c r="O41" s="188"/>
      <c r="P41" s="19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81" t="str">
        <f>"Vincent"</f>
        <v>Vincent</v>
      </c>
      <c r="B42" s="81" t="str">
        <f>"Roberge-Poitras"</f>
        <v>Roberge-Poitras</v>
      </c>
      <c r="C42" s="63" t="str">
        <f>"2006"</f>
        <v>2006</v>
      </c>
      <c r="D42" s="175" t="str">
        <f>"C294 Club de judo Baie-Comeau"</f>
        <v>C294 Club de judo Baie-Comeau</v>
      </c>
      <c r="E42" s="51">
        <v>42</v>
      </c>
      <c r="F42" s="178">
        <v>1</v>
      </c>
      <c r="G42" s="157">
        <v>49</v>
      </c>
      <c r="H42" s="178">
        <v>1</v>
      </c>
      <c r="I42" s="186">
        <v>1270</v>
      </c>
      <c r="J42" s="178">
        <v>3</v>
      </c>
      <c r="K42" s="51">
        <v>60</v>
      </c>
      <c r="L42" s="178">
        <v>7</v>
      </c>
      <c r="M42" s="51">
        <v>64</v>
      </c>
      <c r="N42" s="178">
        <v>1</v>
      </c>
      <c r="O42" s="131">
        <f>SUM(F42+H42+J42+L42+N42)</f>
        <v>13</v>
      </c>
      <c r="P42" s="191"/>
    </row>
    <row r="43" spans="1:28" x14ac:dyDescent="0.25">
      <c r="A43" s="83" t="str">
        <f>"Marie-Joelle"</f>
        <v>Marie-Joelle</v>
      </c>
      <c r="B43" s="83" t="str">
        <f>"Fortin"</f>
        <v>Fortin</v>
      </c>
      <c r="C43" s="64" t="str">
        <f>"2006"</f>
        <v>2006</v>
      </c>
      <c r="D43" s="174" t="str">
        <f>"C294 Club de judo Baie-Comeau"</f>
        <v>C294 Club de judo Baie-Comeau</v>
      </c>
      <c r="E43" s="106">
        <v>35</v>
      </c>
      <c r="F43" s="178">
        <v>1</v>
      </c>
      <c r="G43" s="74">
        <v>21</v>
      </c>
      <c r="H43" s="178">
        <v>7</v>
      </c>
      <c r="I43" s="74">
        <v>138</v>
      </c>
      <c r="J43" s="178">
        <v>6</v>
      </c>
      <c r="K43" s="109">
        <v>15</v>
      </c>
      <c r="L43" s="178">
        <v>6</v>
      </c>
      <c r="M43" s="106">
        <v>49</v>
      </c>
      <c r="N43" s="178">
        <v>4</v>
      </c>
      <c r="O43" s="131">
        <f>SUM(F43+H43+J43+L43+N43)</f>
        <v>24</v>
      </c>
      <c r="P43" s="191"/>
    </row>
    <row r="44" spans="1:28" s="171" customFormat="1" x14ac:dyDescent="0.25">
      <c r="A44" s="167"/>
      <c r="B44" s="167"/>
      <c r="C44" s="168"/>
      <c r="D44" s="176"/>
      <c r="E44" s="172"/>
      <c r="F44" s="181"/>
      <c r="G44" s="173"/>
      <c r="H44" s="181"/>
      <c r="I44" s="187"/>
      <c r="J44" s="181"/>
      <c r="K44" s="172"/>
      <c r="L44" s="181"/>
      <c r="M44" s="172"/>
      <c r="N44" s="181"/>
      <c r="O44" s="188"/>
      <c r="P44" s="19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x14ac:dyDescent="0.25">
      <c r="A45" s="81" t="str">
        <f>"Raphael"</f>
        <v>Raphael</v>
      </c>
      <c r="B45" s="81" t="str">
        <f>"Gagnon"</f>
        <v>Gagnon</v>
      </c>
      <c r="C45" s="63" t="str">
        <f>"2006"</f>
        <v>2006</v>
      </c>
      <c r="D45" s="175" t="str">
        <f>"C349 Club de judo de Fermont"</f>
        <v>C349 Club de judo de Fermont</v>
      </c>
      <c r="E45" s="101">
        <v>30</v>
      </c>
      <c r="F45" s="178">
        <v>8</v>
      </c>
      <c r="G45" s="48">
        <v>21</v>
      </c>
      <c r="H45" s="178">
        <v>16</v>
      </c>
      <c r="I45" s="51">
        <v>420</v>
      </c>
      <c r="J45" s="178">
        <v>11</v>
      </c>
      <c r="K45" s="51">
        <v>59</v>
      </c>
      <c r="L45" s="178">
        <v>8</v>
      </c>
      <c r="M45" s="51">
        <v>47</v>
      </c>
      <c r="N45" s="178">
        <v>13</v>
      </c>
      <c r="O45" s="131">
        <f>SUM(F45+H45+J45+L45+N45)</f>
        <v>56</v>
      </c>
      <c r="P45" s="191"/>
    </row>
    <row r="46" spans="1:28" s="171" customFormat="1" x14ac:dyDescent="0.25">
      <c r="A46" s="167"/>
      <c r="B46" s="167"/>
      <c r="C46" s="168"/>
      <c r="D46" s="176"/>
      <c r="E46" s="172"/>
      <c r="F46" s="181"/>
      <c r="G46" s="172"/>
      <c r="H46" s="181"/>
      <c r="I46" s="172"/>
      <c r="J46" s="181"/>
      <c r="K46" s="172"/>
      <c r="L46" s="181"/>
      <c r="M46" s="172"/>
      <c r="N46" s="181"/>
      <c r="O46" s="188"/>
      <c r="P46" s="19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x14ac:dyDescent="0.25">
      <c r="A47" s="207" t="str">
        <f>"Leah"</f>
        <v>Leah</v>
      </c>
      <c r="B47" s="207" t="str">
        <f>"Michaud"</f>
        <v>Michaud</v>
      </c>
      <c r="C47" s="208" t="str">
        <f>"2008"</f>
        <v>2008</v>
      </c>
      <c r="D47" s="209" t="str">
        <f>"C356 Judo Beauce"</f>
        <v>C356 Judo Beauce</v>
      </c>
      <c r="E47" s="51">
        <v>34</v>
      </c>
      <c r="F47" s="178">
        <v>1</v>
      </c>
      <c r="G47" s="101">
        <v>32</v>
      </c>
      <c r="H47" s="178">
        <v>2</v>
      </c>
      <c r="I47" s="51">
        <v>541</v>
      </c>
      <c r="J47" s="178">
        <v>1</v>
      </c>
      <c r="K47" s="51">
        <v>46</v>
      </c>
      <c r="L47" s="178">
        <v>1</v>
      </c>
      <c r="M47" s="51">
        <v>54</v>
      </c>
      <c r="N47" s="178">
        <v>1</v>
      </c>
      <c r="O47" s="202">
        <v>6</v>
      </c>
      <c r="P47" s="191"/>
    </row>
    <row r="48" spans="1:28" x14ac:dyDescent="0.25">
      <c r="A48" s="207" t="str">
        <f>"William"</f>
        <v>William</v>
      </c>
      <c r="B48" s="207" t="str">
        <f>"Maheux"</f>
        <v>Maheux</v>
      </c>
      <c r="C48" s="208" t="str">
        <f>"2008"</f>
        <v>2008</v>
      </c>
      <c r="D48" s="209" t="str">
        <f>"C356 Judo Beauce"</f>
        <v>C356 Judo Beauce</v>
      </c>
      <c r="E48" s="51">
        <v>35</v>
      </c>
      <c r="F48" s="178">
        <v>1</v>
      </c>
      <c r="G48" s="103">
        <v>35</v>
      </c>
      <c r="H48" s="178">
        <v>2</v>
      </c>
      <c r="I48" s="51">
        <v>1320</v>
      </c>
      <c r="J48" s="178">
        <v>1</v>
      </c>
      <c r="K48" s="51">
        <v>64</v>
      </c>
      <c r="L48" s="178">
        <v>1</v>
      </c>
      <c r="M48" s="51">
        <v>52</v>
      </c>
      <c r="N48" s="178">
        <v>2</v>
      </c>
      <c r="O48" s="201">
        <f>SUM(F48+H48+J48+L48+N48)</f>
        <v>7</v>
      </c>
      <c r="P48" s="191"/>
    </row>
    <row r="49" spans="1:28" x14ac:dyDescent="0.25">
      <c r="A49" s="204" t="str">
        <f>"Charline"</f>
        <v>Charline</v>
      </c>
      <c r="B49" s="204" t="str">
        <f>"Bourque"</f>
        <v>Bourque</v>
      </c>
      <c r="C49" s="205" t="str">
        <f>"2007"</f>
        <v>2007</v>
      </c>
      <c r="D49" s="206" t="str">
        <f>"C356 Judo Beauce"</f>
        <v>C356 Judo Beauce</v>
      </c>
      <c r="E49" s="106">
        <v>34</v>
      </c>
      <c r="F49" s="178">
        <v>2</v>
      </c>
      <c r="G49" s="108">
        <v>34</v>
      </c>
      <c r="H49" s="178">
        <v>4</v>
      </c>
      <c r="I49" s="157">
        <v>4560</v>
      </c>
      <c r="J49" s="178">
        <v>1</v>
      </c>
      <c r="K49" s="106">
        <v>53</v>
      </c>
      <c r="L49" s="178">
        <v>1</v>
      </c>
      <c r="M49" s="106">
        <v>57</v>
      </c>
      <c r="N49" s="178">
        <v>2</v>
      </c>
      <c r="O49" s="201">
        <f>SUM(F49+H49+J49+L49+N49)</f>
        <v>10</v>
      </c>
      <c r="P49" s="191"/>
    </row>
    <row r="50" spans="1:28" x14ac:dyDescent="0.25">
      <c r="A50" s="204" t="str">
        <f>"Nathan"</f>
        <v>Nathan</v>
      </c>
      <c r="B50" s="204" t="str">
        <f>"Morin"</f>
        <v>Morin</v>
      </c>
      <c r="C50" s="205" t="str">
        <f>"2007"</f>
        <v>2007</v>
      </c>
      <c r="D50" s="206" t="str">
        <f>"C356 Judo Beauce"</f>
        <v>C356 Judo Beauce</v>
      </c>
      <c r="E50" s="51">
        <v>35</v>
      </c>
      <c r="F50" s="178">
        <v>2</v>
      </c>
      <c r="G50" s="103">
        <v>35</v>
      </c>
      <c r="H50" s="178">
        <v>3</v>
      </c>
      <c r="I50" s="51">
        <v>4560</v>
      </c>
      <c r="J50" s="178">
        <v>1</v>
      </c>
      <c r="K50" s="51">
        <v>74</v>
      </c>
      <c r="L50" s="178">
        <v>3</v>
      </c>
      <c r="M50" s="51">
        <v>57</v>
      </c>
      <c r="N50" s="178">
        <v>6</v>
      </c>
      <c r="O50" s="201">
        <f>SUM(F50+H50+J50+L50+N50)</f>
        <v>15</v>
      </c>
      <c r="P50" s="191"/>
    </row>
    <row r="51" spans="1:28" x14ac:dyDescent="0.25">
      <c r="A51" s="204" t="str">
        <f>"Mason"</f>
        <v>Mason</v>
      </c>
      <c r="B51" s="204" t="str">
        <f>"Bilodeau"</f>
        <v>Bilodeau</v>
      </c>
      <c r="C51" s="205" t="str">
        <f>"2007"</f>
        <v>2007</v>
      </c>
      <c r="D51" s="206" t="str">
        <f>"C356 Judo Beauce"</f>
        <v>C356 Judo Beauce</v>
      </c>
      <c r="E51" s="101">
        <v>32</v>
      </c>
      <c r="F51" s="178">
        <v>6</v>
      </c>
      <c r="G51" s="48">
        <v>29</v>
      </c>
      <c r="H51" s="178">
        <v>7</v>
      </c>
      <c r="I51" s="51">
        <v>1560</v>
      </c>
      <c r="J51" s="178">
        <v>2</v>
      </c>
      <c r="K51" s="51">
        <v>65</v>
      </c>
      <c r="L51" s="178">
        <v>5</v>
      </c>
      <c r="M51" s="51">
        <v>58</v>
      </c>
      <c r="N51" s="178">
        <v>4</v>
      </c>
      <c r="O51" s="201">
        <f>SUM(F51+H51+J51+L51+N51)</f>
        <v>24</v>
      </c>
      <c r="P51" s="191"/>
    </row>
    <row r="52" spans="1:28" x14ac:dyDescent="0.25">
      <c r="A52" s="207" t="str">
        <f>"Felix-Antoine"</f>
        <v>Felix-Antoine</v>
      </c>
      <c r="B52" s="207" t="str">
        <f>"Veilleux"</f>
        <v>Veilleux</v>
      </c>
      <c r="C52" s="208" t="str">
        <f>"2008"</f>
        <v>2008</v>
      </c>
      <c r="D52" s="209" t="str">
        <f>"C356 Judo Beauce"</f>
        <v>C356 Judo Beauce</v>
      </c>
      <c r="E52" s="51">
        <v>32</v>
      </c>
      <c r="F52" s="178">
        <v>2</v>
      </c>
      <c r="G52" s="48">
        <v>27</v>
      </c>
      <c r="H52" s="178">
        <v>5</v>
      </c>
      <c r="I52" s="51">
        <v>243</v>
      </c>
      <c r="J52" s="178">
        <v>6</v>
      </c>
      <c r="K52" s="101">
        <v>33</v>
      </c>
      <c r="L52" s="178">
        <v>4</v>
      </c>
      <c r="M52" s="51">
        <v>48</v>
      </c>
      <c r="N52" s="178">
        <v>5</v>
      </c>
      <c r="O52" s="201">
        <f>SUM(F52+H52+J52+L52+N52)</f>
        <v>22</v>
      </c>
      <c r="P52" s="191"/>
    </row>
    <row r="53" spans="1:28" x14ac:dyDescent="0.25">
      <c r="A53" s="204" t="str">
        <f>"Alex"</f>
        <v>Alex</v>
      </c>
      <c r="B53" s="204" t="str">
        <f>"Vachon"</f>
        <v>Vachon</v>
      </c>
      <c r="C53" s="205" t="str">
        <f>"2007"</f>
        <v>2007</v>
      </c>
      <c r="D53" s="206" t="str">
        <f>"C356 Judo Beauce"</f>
        <v>C356 Judo Beauce</v>
      </c>
      <c r="E53" s="184">
        <v>33</v>
      </c>
      <c r="F53" s="178">
        <v>5</v>
      </c>
      <c r="G53" s="104">
        <v>29</v>
      </c>
      <c r="H53" s="178">
        <v>7</v>
      </c>
      <c r="I53" s="51">
        <v>451</v>
      </c>
      <c r="J53" s="178">
        <v>9</v>
      </c>
      <c r="K53" s="51">
        <v>79</v>
      </c>
      <c r="L53" s="178">
        <v>2</v>
      </c>
      <c r="M53" s="51">
        <v>60</v>
      </c>
      <c r="N53" s="178">
        <v>3</v>
      </c>
      <c r="O53" s="201">
        <f>SUM(F53+H53+J53+L53+N53)</f>
        <v>26</v>
      </c>
      <c r="P53" s="191"/>
    </row>
    <row r="54" spans="1:28" x14ac:dyDescent="0.25">
      <c r="A54" s="204" t="str">
        <f>"Justin"</f>
        <v>Justin</v>
      </c>
      <c r="B54" s="204" t="str">
        <f>"Rodrigue"</f>
        <v>Rodrigue</v>
      </c>
      <c r="C54" s="205" t="str">
        <f>"2006"</f>
        <v>2006</v>
      </c>
      <c r="D54" s="206" t="str">
        <f>"C356 Judo Beauce"</f>
        <v>C356 Judo Beauce</v>
      </c>
      <c r="E54" s="103">
        <v>29</v>
      </c>
      <c r="F54" s="178">
        <v>10</v>
      </c>
      <c r="G54" s="104">
        <v>29</v>
      </c>
      <c r="H54" s="178">
        <v>7</v>
      </c>
      <c r="I54" s="51">
        <v>480</v>
      </c>
      <c r="J54" s="178">
        <v>8</v>
      </c>
      <c r="K54" s="51">
        <v>98</v>
      </c>
      <c r="L54" s="178">
        <v>1</v>
      </c>
      <c r="M54" s="51">
        <v>58</v>
      </c>
      <c r="N54" s="178">
        <v>4</v>
      </c>
      <c r="O54" s="201">
        <f>SUM(F54+H54+J54+L54+N54)</f>
        <v>30</v>
      </c>
      <c r="P54" s="191"/>
    </row>
    <row r="55" spans="1:28" x14ac:dyDescent="0.25">
      <c r="A55" s="204" t="str">
        <f>"Samuel"</f>
        <v>Samuel</v>
      </c>
      <c r="B55" s="204" t="str">
        <f>"L'espérance"</f>
        <v>L'espérance</v>
      </c>
      <c r="C55" s="205" t="str">
        <f>"2007"</f>
        <v>2007</v>
      </c>
      <c r="D55" s="206" t="str">
        <f>"C356 Judo Beauce"</f>
        <v>C356 Judo Beauce</v>
      </c>
      <c r="E55" s="103">
        <v>29</v>
      </c>
      <c r="F55" s="178">
        <v>10</v>
      </c>
      <c r="G55" s="101">
        <v>44</v>
      </c>
      <c r="H55" s="178">
        <v>2</v>
      </c>
      <c r="I55" s="51">
        <v>1045</v>
      </c>
      <c r="J55" s="178">
        <v>5</v>
      </c>
      <c r="K55" s="51">
        <v>72</v>
      </c>
      <c r="L55" s="178">
        <v>4</v>
      </c>
      <c r="M55" s="51">
        <v>53</v>
      </c>
      <c r="N55" s="178">
        <v>10</v>
      </c>
      <c r="O55" s="201">
        <f>SUM(F55+H55+J55+L55+N55)</f>
        <v>31</v>
      </c>
      <c r="P55" s="191"/>
    </row>
    <row r="56" spans="1:28" ht="15.75" thickBot="1" x14ac:dyDescent="0.3">
      <c r="A56" s="204" t="str">
        <f>"Martin"</f>
        <v>Martin</v>
      </c>
      <c r="B56" s="204" t="str">
        <f>"Beaulieu"</f>
        <v>Beaulieu</v>
      </c>
      <c r="C56" s="205" t="str">
        <f>"1979"</f>
        <v>1979</v>
      </c>
      <c r="D56" s="206" t="str">
        <f>"C356 Judo Beauce"</f>
        <v>C356 Judo Beauce</v>
      </c>
      <c r="E56" s="109">
        <v>23</v>
      </c>
      <c r="F56" s="179">
        <v>7</v>
      </c>
      <c r="G56" s="103">
        <v>30</v>
      </c>
      <c r="H56" s="179">
        <v>7</v>
      </c>
      <c r="I56" s="104">
        <v>138</v>
      </c>
      <c r="J56" s="179">
        <v>5</v>
      </c>
      <c r="K56" s="51">
        <v>45</v>
      </c>
      <c r="L56" s="179">
        <v>4</v>
      </c>
      <c r="M56" s="51">
        <v>40</v>
      </c>
      <c r="N56" s="179">
        <v>7</v>
      </c>
      <c r="O56" s="200">
        <v>30</v>
      </c>
      <c r="P56" s="191"/>
    </row>
    <row r="57" spans="1:28" s="171" customFormat="1" ht="24" thickBot="1" x14ac:dyDescent="0.4">
      <c r="A57" s="167"/>
      <c r="B57" s="190" t="s">
        <v>27</v>
      </c>
      <c r="C57" s="168"/>
      <c r="D57" s="189" t="s">
        <v>28</v>
      </c>
      <c r="E57" s="170"/>
      <c r="F57" s="180"/>
      <c r="G57" s="172"/>
      <c r="H57" s="180"/>
      <c r="I57" s="172"/>
      <c r="J57" s="180"/>
      <c r="K57" s="172"/>
      <c r="L57" s="180"/>
      <c r="M57" s="172"/>
      <c r="N57" s="180"/>
      <c r="O57" s="213">
        <f>SUM(O47:O56)</f>
        <v>201</v>
      </c>
      <c r="P57" s="19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x14ac:dyDescent="0.25">
      <c r="A58" s="84" t="str">
        <f>"Sandrine"</f>
        <v>Sandrine</v>
      </c>
      <c r="B58" s="84" t="str">
        <f>"Dufour-Joly"</f>
        <v>Dufour-Joly</v>
      </c>
      <c r="C58" s="2" t="str">
        <f>"2008"</f>
        <v>2008</v>
      </c>
      <c r="D58" s="177" t="str">
        <f>"C378 École d'arts martiaux et d'autodéfense Chikara de Chelsea"</f>
        <v>C378 École d'arts martiaux et d'autodéfense Chikara de Chelsea</v>
      </c>
      <c r="E58" s="104">
        <v>14</v>
      </c>
      <c r="F58" s="178">
        <v>5</v>
      </c>
      <c r="G58" s="48">
        <v>23</v>
      </c>
      <c r="H58" s="178">
        <v>4</v>
      </c>
      <c r="I58" s="48">
        <v>65</v>
      </c>
      <c r="J58" s="178">
        <v>5</v>
      </c>
      <c r="K58" s="48">
        <v>10</v>
      </c>
      <c r="L58" s="178">
        <v>5</v>
      </c>
      <c r="M58" s="184">
        <v>36</v>
      </c>
      <c r="N58" s="178">
        <v>5</v>
      </c>
      <c r="O58" s="162">
        <v>24</v>
      </c>
      <c r="P58" s="191"/>
    </row>
    <row r="59" spans="1:28" x14ac:dyDescent="0.25">
      <c r="A59" s="81" t="str">
        <f>"François"</f>
        <v>François</v>
      </c>
      <c r="B59" s="81" t="str">
        <f>"Joly"</f>
        <v>Joly</v>
      </c>
      <c r="C59" s="63" t="str">
        <f>"1971"</f>
        <v>1971</v>
      </c>
      <c r="D59" s="175" t="str">
        <f>"C378 École d'arts martiaux et d'autodéfense Chikara de Chelsea"</f>
        <v>C378 École d'arts martiaux et d'autodéfense Chikara de Chelsea</v>
      </c>
      <c r="E59" s="118">
        <v>28</v>
      </c>
      <c r="F59" s="179">
        <v>4</v>
      </c>
      <c r="G59" s="151">
        <v>43</v>
      </c>
      <c r="H59" s="179">
        <v>3</v>
      </c>
      <c r="I59" s="105">
        <v>64</v>
      </c>
      <c r="J59" s="179">
        <v>7</v>
      </c>
      <c r="K59" s="151">
        <v>44</v>
      </c>
      <c r="L59" s="179">
        <v>5</v>
      </c>
      <c r="M59" s="151">
        <v>44</v>
      </c>
      <c r="N59" s="179">
        <v>4</v>
      </c>
      <c r="O59" s="73">
        <v>23</v>
      </c>
      <c r="P59" s="191"/>
    </row>
    <row r="60" spans="1:28" x14ac:dyDescent="0.25">
      <c r="O60" s="6"/>
      <c r="P60" s="191"/>
    </row>
  </sheetData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u14 F</vt:lpstr>
      <vt:lpstr>u14 M</vt:lpstr>
      <vt:lpstr>u16 u18 F</vt:lpstr>
      <vt:lpstr>u16 u18 M</vt:lpstr>
      <vt:lpstr>u21 senior F</vt:lpstr>
      <vt:lpstr>u21 senior M </vt:lpstr>
      <vt:lpstr>Veteran F</vt:lpstr>
      <vt:lpstr>Veteran M</vt:lpstr>
      <vt:lpstr>Meilleur Club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Poklitar</dc:creator>
  <cp:lastModifiedBy>George Poklitar</cp:lastModifiedBy>
  <dcterms:created xsi:type="dcterms:W3CDTF">2020-11-02T18:50:59Z</dcterms:created>
  <dcterms:modified xsi:type="dcterms:W3CDTF">2020-11-04T21:18:23Z</dcterms:modified>
</cp:coreProperties>
</file>