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noel\Downloads\"/>
    </mc:Choice>
  </mc:AlternateContent>
  <xr:revisionPtr revIDLastSave="0" documentId="13_ncr:1_{DDDB98BD-8BB6-4F4D-B458-A0C717D2C0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cription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5" l="1"/>
  <c r="F131" i="5"/>
  <c r="F142" i="5"/>
  <c r="F147" i="5"/>
  <c r="D147" i="5"/>
  <c r="C147" i="5"/>
  <c r="B147" i="5"/>
  <c r="F146" i="5"/>
  <c r="D146" i="5"/>
  <c r="C146" i="5"/>
  <c r="B146" i="5"/>
  <c r="F137" i="5"/>
  <c r="D137" i="5"/>
  <c r="C137" i="5"/>
  <c r="B137" i="5"/>
  <c r="F145" i="5"/>
  <c r="D145" i="5"/>
  <c r="C145" i="5"/>
  <c r="B145" i="5"/>
  <c r="F144" i="5"/>
  <c r="D144" i="5"/>
  <c r="C144" i="5"/>
  <c r="B144" i="5"/>
  <c r="F143" i="5"/>
  <c r="D143" i="5"/>
  <c r="C143" i="5"/>
  <c r="B143" i="5"/>
  <c r="D142" i="5"/>
  <c r="C142" i="5"/>
  <c r="B142" i="5"/>
  <c r="F141" i="5"/>
  <c r="D141" i="5"/>
  <c r="C141" i="5"/>
  <c r="B141" i="5"/>
  <c r="F140" i="5"/>
  <c r="D140" i="5"/>
  <c r="C140" i="5"/>
  <c r="B140" i="5"/>
  <c r="F139" i="5"/>
  <c r="D139" i="5"/>
  <c r="C139" i="5"/>
  <c r="B139" i="5"/>
  <c r="F138" i="5"/>
  <c r="D138" i="5"/>
  <c r="C138" i="5"/>
  <c r="B138" i="5"/>
  <c r="F136" i="5"/>
  <c r="D136" i="5"/>
  <c r="C136" i="5"/>
  <c r="B136" i="5"/>
  <c r="F135" i="5"/>
  <c r="D135" i="5"/>
  <c r="C135" i="5"/>
  <c r="B135" i="5"/>
  <c r="F134" i="5"/>
  <c r="D134" i="5"/>
  <c r="C134" i="5"/>
  <c r="B134" i="5"/>
  <c r="F133" i="5"/>
  <c r="D133" i="5"/>
  <c r="C133" i="5"/>
  <c r="B133" i="5"/>
  <c r="F132" i="5"/>
  <c r="D132" i="5"/>
  <c r="C132" i="5"/>
  <c r="B132" i="5"/>
  <c r="F130" i="5"/>
  <c r="D130" i="5"/>
  <c r="C130" i="5"/>
  <c r="B130" i="5"/>
  <c r="F128" i="5"/>
  <c r="D128" i="5"/>
  <c r="C128" i="5"/>
  <c r="B128" i="5"/>
  <c r="F126" i="5"/>
  <c r="D126" i="5"/>
  <c r="C126" i="5"/>
  <c r="B126" i="5"/>
  <c r="F124" i="5"/>
  <c r="D124" i="5"/>
  <c r="C124" i="5"/>
  <c r="B124" i="5"/>
  <c r="F122" i="5"/>
  <c r="D122" i="5"/>
  <c r="C122" i="5"/>
  <c r="B122" i="5"/>
  <c r="F120" i="5"/>
  <c r="D120" i="5"/>
  <c r="C120" i="5"/>
  <c r="B120" i="5"/>
  <c r="F119" i="5"/>
  <c r="D119" i="5"/>
  <c r="C119" i="5"/>
  <c r="B119" i="5"/>
  <c r="F118" i="5"/>
  <c r="D118" i="5"/>
  <c r="C118" i="5"/>
  <c r="B118" i="5"/>
  <c r="F117" i="5"/>
  <c r="D117" i="5"/>
  <c r="C117" i="5"/>
  <c r="B117" i="5"/>
  <c r="F116" i="5"/>
  <c r="D116" i="5"/>
  <c r="C116" i="5"/>
  <c r="B116" i="5"/>
  <c r="F115" i="5"/>
  <c r="D115" i="5"/>
  <c r="C115" i="5"/>
  <c r="B115" i="5"/>
  <c r="F114" i="5"/>
  <c r="D114" i="5"/>
  <c r="C114" i="5"/>
  <c r="B114" i="5"/>
  <c r="F113" i="5"/>
  <c r="D113" i="5"/>
  <c r="C113" i="5"/>
  <c r="B113" i="5"/>
  <c r="F112" i="5"/>
  <c r="D112" i="5"/>
  <c r="C112" i="5"/>
  <c r="B112" i="5"/>
  <c r="F111" i="5"/>
  <c r="D111" i="5"/>
  <c r="C111" i="5"/>
  <c r="B111" i="5"/>
  <c r="F110" i="5"/>
  <c r="D110" i="5"/>
  <c r="C110" i="5"/>
  <c r="B110" i="5"/>
  <c r="F109" i="5"/>
  <c r="D109" i="5"/>
  <c r="C109" i="5"/>
  <c r="B109" i="5"/>
  <c r="F108" i="5"/>
  <c r="D108" i="5"/>
  <c r="C108" i="5"/>
  <c r="B108" i="5"/>
  <c r="F106" i="5"/>
  <c r="D106" i="5"/>
  <c r="C106" i="5"/>
  <c r="B106" i="5"/>
  <c r="F105" i="5"/>
  <c r="D105" i="5"/>
  <c r="C105" i="5"/>
  <c r="B105" i="5"/>
  <c r="F107" i="5"/>
  <c r="D107" i="5"/>
  <c r="C107" i="5"/>
  <c r="B107" i="5"/>
  <c r="F104" i="5"/>
  <c r="D104" i="5"/>
  <c r="C104" i="5"/>
  <c r="B104" i="5"/>
  <c r="F99" i="5"/>
  <c r="D99" i="5"/>
  <c r="C99" i="5"/>
  <c r="B99" i="5"/>
  <c r="F97" i="5"/>
  <c r="D97" i="5"/>
  <c r="C97" i="5"/>
  <c r="B97" i="5"/>
  <c r="F102" i="5"/>
  <c r="D102" i="5"/>
  <c r="C102" i="5"/>
  <c r="B102" i="5"/>
  <c r="F101" i="5"/>
  <c r="D101" i="5"/>
  <c r="C101" i="5"/>
  <c r="B101" i="5"/>
  <c r="F103" i="5"/>
  <c r="D103" i="5"/>
  <c r="C103" i="5"/>
  <c r="B103" i="5"/>
  <c r="F100" i="5"/>
  <c r="D100" i="5"/>
  <c r="C100" i="5"/>
  <c r="B100" i="5"/>
  <c r="F98" i="5"/>
  <c r="D98" i="5"/>
  <c r="C98" i="5"/>
  <c r="B98" i="5"/>
  <c r="F96" i="5"/>
  <c r="D96" i="5"/>
  <c r="C96" i="5"/>
  <c r="B96" i="5"/>
  <c r="F95" i="5"/>
  <c r="D95" i="5"/>
  <c r="C95" i="5"/>
  <c r="B95" i="5"/>
  <c r="F94" i="5"/>
  <c r="D94" i="5"/>
  <c r="C94" i="5"/>
  <c r="B94" i="5"/>
  <c r="F93" i="5"/>
  <c r="D93" i="5"/>
  <c r="C93" i="5"/>
  <c r="B93" i="5"/>
  <c r="F92" i="5"/>
  <c r="D92" i="5"/>
  <c r="C92" i="5"/>
  <c r="B92" i="5"/>
  <c r="F90" i="5"/>
  <c r="D90" i="5"/>
  <c r="C90" i="5"/>
  <c r="B90" i="5"/>
  <c r="F91" i="5"/>
  <c r="D91" i="5"/>
  <c r="C91" i="5"/>
  <c r="B91" i="5"/>
  <c r="F89" i="5"/>
  <c r="D89" i="5"/>
  <c r="C89" i="5"/>
  <c r="B89" i="5"/>
  <c r="F88" i="5"/>
  <c r="D88" i="5"/>
  <c r="C88" i="5"/>
  <c r="B88" i="5"/>
  <c r="F86" i="5"/>
  <c r="D86" i="5"/>
  <c r="F87" i="5"/>
  <c r="D87" i="5"/>
  <c r="C86" i="5"/>
  <c r="B86" i="5"/>
  <c r="C87" i="5"/>
  <c r="B87" i="5"/>
  <c r="F84" i="5"/>
  <c r="D84" i="5"/>
  <c r="C84" i="5"/>
  <c r="B84" i="5"/>
  <c r="F85" i="5"/>
  <c r="D85" i="5"/>
  <c r="C85" i="5"/>
  <c r="B85" i="5"/>
  <c r="F83" i="5"/>
  <c r="D83" i="5"/>
  <c r="C83" i="5"/>
  <c r="B83" i="5"/>
  <c r="F82" i="5"/>
  <c r="D82" i="5"/>
  <c r="C82" i="5"/>
  <c r="B82" i="5"/>
  <c r="F80" i="5"/>
  <c r="D80" i="5"/>
  <c r="C80" i="5"/>
  <c r="B80" i="5"/>
  <c r="F81" i="5"/>
  <c r="D81" i="5"/>
  <c r="C81" i="5"/>
  <c r="B81" i="5"/>
  <c r="F79" i="5"/>
  <c r="D79" i="5"/>
  <c r="C79" i="5"/>
  <c r="B79" i="5"/>
  <c r="F77" i="5"/>
  <c r="D77" i="5"/>
  <c r="C77" i="5"/>
  <c r="B77" i="5"/>
  <c r="F78" i="5"/>
  <c r="D78" i="5"/>
  <c r="C78" i="5"/>
  <c r="B78" i="5"/>
  <c r="F76" i="5"/>
  <c r="D76" i="5"/>
  <c r="C76" i="5"/>
  <c r="B76" i="5"/>
  <c r="D74" i="5"/>
  <c r="C74" i="5"/>
  <c r="B74" i="5"/>
  <c r="F75" i="5"/>
  <c r="F74" i="5"/>
  <c r="D75" i="5"/>
  <c r="C75" i="5"/>
  <c r="B75" i="5"/>
  <c r="F73" i="5"/>
  <c r="D73" i="5"/>
  <c r="C73" i="5"/>
  <c r="B73" i="5"/>
  <c r="F71" i="5"/>
  <c r="D71" i="5"/>
  <c r="C71" i="5"/>
  <c r="B71" i="5"/>
  <c r="F72" i="5"/>
  <c r="F70" i="5"/>
  <c r="D72" i="5"/>
  <c r="D70" i="5"/>
  <c r="C70" i="5"/>
  <c r="C72" i="5"/>
  <c r="B72" i="5"/>
  <c r="B70" i="5"/>
  <c r="C68" i="5"/>
  <c r="B68" i="5"/>
  <c r="D68" i="5"/>
  <c r="D66" i="5"/>
  <c r="C66" i="5"/>
  <c r="B66" i="5"/>
  <c r="F69" i="5"/>
  <c r="F68" i="5"/>
  <c r="F67" i="5"/>
  <c r="F66" i="5"/>
  <c r="D69" i="5"/>
  <c r="D67" i="5"/>
  <c r="C69" i="5"/>
  <c r="C67" i="5"/>
  <c r="B69" i="5"/>
  <c r="B67" i="5"/>
  <c r="F65" i="5"/>
  <c r="D65" i="5"/>
  <c r="C65" i="5"/>
  <c r="B65" i="5"/>
  <c r="F64" i="5"/>
  <c r="D64" i="5"/>
  <c r="C64" i="5"/>
  <c r="B64" i="5"/>
  <c r="F63" i="5"/>
  <c r="D63" i="5"/>
  <c r="C63" i="5"/>
  <c r="B63" i="5"/>
  <c r="F62" i="5"/>
  <c r="D62" i="5"/>
  <c r="C62" i="5"/>
  <c r="B62" i="5"/>
  <c r="F60" i="5"/>
  <c r="D60" i="5"/>
  <c r="C60" i="5"/>
  <c r="B60" i="5"/>
  <c r="F61" i="5"/>
  <c r="D61" i="5"/>
  <c r="C61" i="5"/>
  <c r="C59" i="5"/>
  <c r="B61" i="5"/>
  <c r="F58" i="5"/>
  <c r="D58" i="5"/>
  <c r="C58" i="5"/>
  <c r="B58" i="5"/>
  <c r="B59" i="5"/>
  <c r="F59" i="5"/>
  <c r="D59" i="5"/>
  <c r="F57" i="5"/>
  <c r="D57" i="5"/>
  <c r="C57" i="5"/>
  <c r="B57" i="5"/>
  <c r="F56" i="5"/>
  <c r="D56" i="5"/>
  <c r="C56" i="5"/>
  <c r="B56" i="5"/>
  <c r="F54" i="5"/>
  <c r="D54" i="5"/>
  <c r="C54" i="5"/>
  <c r="B54" i="5"/>
  <c r="F55" i="5"/>
  <c r="D55" i="5"/>
  <c r="C55" i="5"/>
  <c r="B55" i="5"/>
  <c r="F52" i="5"/>
  <c r="D52" i="5"/>
  <c r="C52" i="5"/>
  <c r="B52" i="5"/>
  <c r="F53" i="5"/>
  <c r="D53" i="5"/>
  <c r="C53" i="5"/>
  <c r="B53" i="5"/>
  <c r="F51" i="5"/>
  <c r="D51" i="5"/>
  <c r="C51" i="5"/>
  <c r="B51" i="5"/>
  <c r="F50" i="5"/>
  <c r="D50" i="5"/>
  <c r="C50" i="5"/>
  <c r="B50" i="5"/>
  <c r="F49" i="5"/>
  <c r="D49" i="5"/>
  <c r="C49" i="5"/>
  <c r="B49" i="5"/>
  <c r="F48" i="5"/>
  <c r="D48" i="5"/>
  <c r="C48" i="5"/>
  <c r="B48" i="5"/>
  <c r="F47" i="5"/>
  <c r="D47" i="5"/>
  <c r="C47" i="5"/>
  <c r="B47" i="5"/>
  <c r="F45" i="5"/>
  <c r="D45" i="5"/>
  <c r="C45" i="5"/>
  <c r="B45" i="5"/>
  <c r="F46" i="5"/>
  <c r="D46" i="5"/>
  <c r="C46" i="5"/>
  <c r="B46" i="5"/>
  <c r="F44" i="5"/>
  <c r="D44" i="5"/>
  <c r="C44" i="5"/>
  <c r="B44" i="5"/>
  <c r="F43" i="5"/>
  <c r="D43" i="5"/>
  <c r="C43" i="5"/>
  <c r="B43" i="5"/>
  <c r="F42" i="5"/>
  <c r="D42" i="5"/>
  <c r="C42" i="5"/>
  <c r="B42" i="5"/>
  <c r="F41" i="5"/>
  <c r="F40" i="5"/>
  <c r="D41" i="5"/>
  <c r="C41" i="5"/>
  <c r="B41" i="5"/>
  <c r="D40" i="5"/>
  <c r="C40" i="5"/>
  <c r="B40" i="5"/>
  <c r="F38" i="5"/>
  <c r="D38" i="5"/>
  <c r="C38" i="5"/>
  <c r="B38" i="5"/>
  <c r="F39" i="5"/>
  <c r="D39" i="5"/>
  <c r="C39" i="5"/>
  <c r="B39" i="5"/>
  <c r="F36" i="5"/>
  <c r="F34" i="5"/>
  <c r="D36" i="5"/>
  <c r="D34" i="5"/>
  <c r="C36" i="5"/>
  <c r="C34" i="5"/>
  <c r="B36" i="5"/>
  <c r="B34" i="5"/>
  <c r="F32" i="5"/>
  <c r="D32" i="5"/>
  <c r="C32" i="5"/>
  <c r="B32" i="5"/>
  <c r="F37" i="5"/>
  <c r="D37" i="5"/>
  <c r="C37" i="5"/>
  <c r="B37" i="5"/>
  <c r="F35" i="5"/>
  <c r="D35" i="5"/>
  <c r="C35" i="5"/>
  <c r="B35" i="5"/>
  <c r="F33" i="5"/>
  <c r="D33" i="5"/>
  <c r="C33" i="5"/>
  <c r="B33" i="5"/>
  <c r="F31" i="5"/>
  <c r="D31" i="5"/>
  <c r="C31" i="5"/>
  <c r="B31" i="5"/>
  <c r="F30" i="5"/>
  <c r="D30" i="5"/>
  <c r="C30" i="5"/>
  <c r="B30" i="5"/>
  <c r="F28" i="5"/>
  <c r="D28" i="5"/>
  <c r="C28" i="5"/>
  <c r="C27" i="5"/>
  <c r="B28" i="5"/>
  <c r="F29" i="5"/>
  <c r="D29" i="5"/>
  <c r="C29" i="5"/>
  <c r="B29" i="5"/>
  <c r="F26" i="5"/>
  <c r="D26" i="5"/>
  <c r="C26" i="5"/>
  <c r="B26" i="5"/>
  <c r="F24" i="5"/>
  <c r="D24" i="5"/>
  <c r="C24" i="5"/>
  <c r="B24" i="5"/>
  <c r="F27" i="5"/>
  <c r="D27" i="5"/>
  <c r="B27" i="5"/>
  <c r="F25" i="5"/>
  <c r="D25" i="5"/>
  <c r="C25" i="5"/>
  <c r="B25" i="5"/>
  <c r="F23" i="5"/>
  <c r="D23" i="5"/>
  <c r="C23" i="5"/>
  <c r="B23" i="5"/>
  <c r="F21" i="5"/>
  <c r="F22" i="5"/>
  <c r="D22" i="5"/>
  <c r="C22" i="5"/>
  <c r="B22" i="5"/>
  <c r="D21" i="5"/>
  <c r="C21" i="5"/>
  <c r="B21" i="5"/>
  <c r="F20" i="5"/>
  <c r="D20" i="5"/>
  <c r="C20" i="5"/>
  <c r="B20" i="5"/>
  <c r="C18" i="5"/>
  <c r="B18" i="5"/>
  <c r="F18" i="5"/>
  <c r="D18" i="5"/>
  <c r="F16" i="5"/>
  <c r="D16" i="5"/>
  <c r="C16" i="5"/>
  <c r="B16" i="5"/>
  <c r="F19" i="5"/>
  <c r="D19" i="5"/>
  <c r="C19" i="5"/>
  <c r="B19" i="5"/>
  <c r="F17" i="5"/>
  <c r="D17" i="5"/>
  <c r="C17" i="5"/>
  <c r="B17" i="5"/>
  <c r="F15" i="5"/>
  <c r="D15" i="5"/>
  <c r="C15" i="5"/>
  <c r="B15" i="5"/>
  <c r="F14" i="5"/>
  <c r="D14" i="5"/>
  <c r="C14" i="5"/>
  <c r="B14" i="5"/>
  <c r="F11" i="5"/>
  <c r="D11" i="5"/>
  <c r="C11" i="5"/>
  <c r="B11" i="5"/>
  <c r="F12" i="5"/>
  <c r="D12" i="5"/>
  <c r="C12" i="5"/>
  <c r="B12" i="5"/>
  <c r="F13" i="5"/>
  <c r="D13" i="5"/>
  <c r="C13" i="5"/>
  <c r="B13" i="5"/>
  <c r="F8" i="5"/>
  <c r="D8" i="5"/>
  <c r="C8" i="5"/>
  <c r="B8" i="5"/>
  <c r="F10" i="5"/>
  <c r="D10" i="5"/>
  <c r="B10" i="5"/>
  <c r="C10" i="5"/>
  <c r="F9" i="5"/>
  <c r="D9" i="5"/>
  <c r="C9" i="5"/>
  <c r="B9" i="5"/>
  <c r="F6" i="5"/>
  <c r="D6" i="5"/>
  <c r="C6" i="5"/>
  <c r="B6" i="5"/>
  <c r="F7" i="5"/>
  <c r="D7" i="5"/>
  <c r="B7" i="5"/>
  <c r="C7" i="5"/>
</calcChain>
</file>

<file path=xl/sharedStrings.xml><?xml version="1.0" encoding="utf-8"?>
<sst xmlns="http://schemas.openxmlformats.org/spreadsheetml/2006/main" count="323" uniqueCount="28">
  <si>
    <t>Grade</t>
  </si>
  <si>
    <t>KIME</t>
  </si>
  <si>
    <t>JU</t>
  </si>
  <si>
    <t>GOSHIN</t>
  </si>
  <si>
    <t>KATAME</t>
  </si>
  <si>
    <t>Nage (5)</t>
  </si>
  <si>
    <t>Nage (3)</t>
  </si>
  <si>
    <t>CLUB</t>
  </si>
  <si>
    <t>Accr.</t>
  </si>
  <si>
    <t>KATA - Senior</t>
  </si>
  <si>
    <t>No.</t>
  </si>
  <si>
    <t>NOM (Tori)</t>
  </si>
  <si>
    <t>NOM (Uke)</t>
  </si>
  <si>
    <t>Prénom (Tori)</t>
  </si>
  <si>
    <t>Prénom (Uke)</t>
  </si>
  <si>
    <t>KATA - U23</t>
  </si>
  <si>
    <t>Championnat ouvert de kata de l'est du canada</t>
  </si>
  <si>
    <t>x</t>
  </si>
  <si>
    <t>Juno</t>
  </si>
  <si>
    <t>Mireault</t>
  </si>
  <si>
    <t>Juliette</t>
  </si>
  <si>
    <t>NON</t>
  </si>
  <si>
    <t>OUI</t>
  </si>
  <si>
    <t>U16</t>
  </si>
  <si>
    <t>Doucet</t>
  </si>
  <si>
    <t>Pierre</t>
  </si>
  <si>
    <t xml:space="preserve">Evan </t>
  </si>
  <si>
    <t>Shodan (1dan)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</si>
</sst>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/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42" applyFill="1"/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7"/>
  <sheetViews>
    <sheetView tabSelected="1" zoomScale="80" zoomScaleNormal="80" workbookViewId="0">
      <pane ySplit="4" topLeftCell="A5" activePane="bottomLeft" state="frozen"/>
      <selection pane="bottomLeft" activeCell="D132" sqref="D132"/>
    </sheetView>
  </sheetViews>
  <sheetFormatPr baseColWidth="10" defaultColWidth="10.85546875" defaultRowHeight="15" x14ac:dyDescent="0.25"/>
  <cols>
    <col min="1" max="1" width="10.85546875" style="5"/>
    <col min="2" max="2" width="20.7109375" bestFit="1" customWidth="1"/>
    <col min="3" max="3" width="18.42578125" bestFit="1" customWidth="1"/>
    <col min="4" max="4" width="36" bestFit="1" customWidth="1"/>
    <col min="5" max="5" width="10.140625" style="6" customWidth="1"/>
    <col min="6" max="6" width="47" bestFit="1" customWidth="1"/>
    <col min="7" max="7" width="10.28515625" style="5" customWidth="1"/>
    <col min="8" max="8" width="10.5703125" style="5" customWidth="1"/>
    <col min="9" max="13" width="10.28515625" style="5" customWidth="1"/>
    <col min="14" max="14" width="10.42578125" style="5" customWidth="1"/>
    <col min="15" max="15" width="10.140625" style="5" customWidth="1"/>
    <col min="16" max="17" width="10.140625" customWidth="1"/>
    <col min="19" max="19" width="24.85546875" customWidth="1"/>
    <col min="20" max="20" width="12.140625" customWidth="1"/>
  </cols>
  <sheetData>
    <row r="1" spans="1:18" ht="20.25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 x14ac:dyDescent="0.25">
      <c r="A3" s="27" t="s">
        <v>10</v>
      </c>
      <c r="B3" s="2" t="s">
        <v>11</v>
      </c>
      <c r="C3" s="2" t="s">
        <v>13</v>
      </c>
      <c r="D3" s="2" t="s">
        <v>0</v>
      </c>
      <c r="E3" s="2" t="s">
        <v>8</v>
      </c>
      <c r="F3" s="2" t="s">
        <v>7</v>
      </c>
      <c r="G3" s="2" t="s">
        <v>23</v>
      </c>
      <c r="H3" s="21" t="s">
        <v>15</v>
      </c>
      <c r="I3" s="22"/>
      <c r="J3" s="22"/>
      <c r="K3" s="22"/>
      <c r="L3" s="23"/>
      <c r="M3" s="27" t="s">
        <v>9</v>
      </c>
      <c r="N3" s="27"/>
      <c r="O3" s="27"/>
      <c r="P3" s="27"/>
      <c r="Q3" s="27"/>
      <c r="R3" s="27"/>
    </row>
    <row r="4" spans="1:18" ht="15.75" x14ac:dyDescent="0.25">
      <c r="A4" s="27"/>
      <c r="B4" s="2" t="s">
        <v>12</v>
      </c>
      <c r="C4" s="2" t="s">
        <v>14</v>
      </c>
      <c r="D4" s="2" t="s">
        <v>0</v>
      </c>
      <c r="E4" s="2" t="s">
        <v>8</v>
      </c>
      <c r="F4" s="2" t="s">
        <v>7</v>
      </c>
      <c r="G4" s="2" t="s">
        <v>18</v>
      </c>
      <c r="H4" s="2" t="s">
        <v>6</v>
      </c>
      <c r="I4" s="2" t="s">
        <v>5</v>
      </c>
      <c r="J4" s="2" t="s">
        <v>3</v>
      </c>
      <c r="K4" s="2" t="s">
        <v>2</v>
      </c>
      <c r="L4" s="2" t="s">
        <v>4</v>
      </c>
      <c r="M4" s="2" t="s">
        <v>6</v>
      </c>
      <c r="N4" s="2" t="s">
        <v>5</v>
      </c>
      <c r="O4" s="2" t="s">
        <v>4</v>
      </c>
      <c r="P4" s="2" t="s">
        <v>3</v>
      </c>
      <c r="Q4" s="2" t="s">
        <v>2</v>
      </c>
      <c r="R4" s="1" t="s">
        <v>1</v>
      </c>
    </row>
    <row r="5" spans="1:18" ht="19.5" thickBot="1" x14ac:dyDescent="0.35">
      <c r="G5" s="18">
        <v>1</v>
      </c>
      <c r="H5" s="18">
        <v>11</v>
      </c>
      <c r="I5" s="18">
        <v>2</v>
      </c>
      <c r="J5" s="18">
        <v>2</v>
      </c>
      <c r="K5" s="18">
        <v>2</v>
      </c>
      <c r="L5" s="18">
        <v>1</v>
      </c>
      <c r="M5" s="18">
        <v>17</v>
      </c>
      <c r="N5" s="18">
        <v>6</v>
      </c>
      <c r="O5" s="18">
        <v>5</v>
      </c>
      <c r="P5" s="9">
        <v>9</v>
      </c>
      <c r="Q5" s="9">
        <v>9</v>
      </c>
      <c r="R5" s="9">
        <v>6</v>
      </c>
    </row>
    <row r="6" spans="1:18" ht="18.75" x14ac:dyDescent="0.3">
      <c r="A6" s="28">
        <v>1</v>
      </c>
      <c r="B6" s="10" t="str">
        <f>"De Lima Felix"</f>
        <v>De Lima Felix</v>
      </c>
      <c r="C6" s="10" t="str">
        <f>"Ana Beatriz"</f>
        <v>Ana Beatriz</v>
      </c>
      <c r="D6" s="10" t="str">
        <f>"Sandan (3dan)"</f>
        <v>Sandan (3dan)</v>
      </c>
      <c r="E6" s="10" t="s">
        <v>21</v>
      </c>
      <c r="F6" s="11" t="str">
        <f>"Higashi Canada"</f>
        <v>Higashi Canada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 t="s">
        <v>17</v>
      </c>
    </row>
    <row r="7" spans="1:18" ht="19.5" thickBot="1" x14ac:dyDescent="0.35">
      <c r="A7" s="29"/>
      <c r="B7" s="8" t="str">
        <f>"Perez Monteiro"</f>
        <v>Perez Monteiro</v>
      </c>
      <c r="C7" s="8" t="str">
        <f>"Jose Eudes"</f>
        <v>Jose Eudes</v>
      </c>
      <c r="D7" s="8" t="str">
        <f>"Rokudan (6dan)"</f>
        <v>Rokudan (6dan)</v>
      </c>
      <c r="E7" s="8" t="s">
        <v>21</v>
      </c>
      <c r="F7" s="12" t="str">
        <f>"Higashi Canada"</f>
        <v>Higashi Canada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 t="s">
        <v>17</v>
      </c>
    </row>
    <row r="8" spans="1:18" ht="18.75" x14ac:dyDescent="0.3">
      <c r="A8" s="24">
        <v>2</v>
      </c>
      <c r="B8" s="10" t="str">
        <f>"Pageau"</f>
        <v>Pageau</v>
      </c>
      <c r="C8" s="10" t="str">
        <f>"Mario"</f>
        <v>Mario</v>
      </c>
      <c r="D8" s="10" t="str">
        <f>"Nidan (2dan)"</f>
        <v>Nidan (2dan)</v>
      </c>
      <c r="E8" s="10" t="s">
        <v>21</v>
      </c>
      <c r="F8" s="11" t="str">
        <f>"C012 Kyo Shi Do Kan"</f>
        <v>C012 Kyo Shi Do Kan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 t="s">
        <v>17</v>
      </c>
    </row>
    <row r="9" spans="1:18" ht="19.5" thickBot="1" x14ac:dyDescent="0.35">
      <c r="A9" s="25"/>
      <c r="B9" s="8" t="str">
        <f>"Vallieres"</f>
        <v>Vallieres</v>
      </c>
      <c r="C9" s="8" t="str">
        <f>"Martin"</f>
        <v>Martin</v>
      </c>
      <c r="D9" s="8" t="str">
        <f>"Yondan (4dan)"</f>
        <v>Yondan (4dan)</v>
      </c>
      <c r="E9" s="8" t="s">
        <v>21</v>
      </c>
      <c r="F9" s="12" t="str">
        <f>"C291 Club Judo KonKi Do Kan"</f>
        <v>C291 Club Judo KonKi Do Kan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17</v>
      </c>
    </row>
    <row r="10" spans="1:18" ht="18.75" x14ac:dyDescent="0.3">
      <c r="A10" s="24">
        <v>3</v>
      </c>
      <c r="B10" s="10" t="str">
        <f>"Duquette"</f>
        <v>Duquette</v>
      </c>
      <c r="C10" s="10" t="str">
        <f>"Patrick"</f>
        <v>Patrick</v>
      </c>
      <c r="D10" s="10" t="str">
        <f>"Godan (5dan)"</f>
        <v>Godan (5dan)</v>
      </c>
      <c r="E10" s="10" t="s">
        <v>21</v>
      </c>
      <c r="F10" s="11" t="str">
        <f>"C095 Club de judo Hakudokan"</f>
        <v>C095 Club de judo Hakudokan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 t="s">
        <v>17</v>
      </c>
      <c r="R10" s="15"/>
    </row>
    <row r="11" spans="1:18" ht="19.5" thickBot="1" x14ac:dyDescent="0.35">
      <c r="A11" s="25"/>
      <c r="B11" s="8" t="str">
        <f>"Chenier"</f>
        <v>Chenier</v>
      </c>
      <c r="C11" s="8" t="str">
        <f>"Martin"</f>
        <v>Martin</v>
      </c>
      <c r="D11" s="8" t="str">
        <f>"Yondan (4dan)"</f>
        <v>Yondan (4dan)</v>
      </c>
      <c r="E11" s="8" t="s">
        <v>21</v>
      </c>
      <c r="F11" s="12" t="str">
        <f>"C095 Club de judo Hakudokan"</f>
        <v>C095 Club de judo Hakudokan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 t="s">
        <v>17</v>
      </c>
      <c r="R11" s="17"/>
    </row>
    <row r="12" spans="1:18" ht="18.75" x14ac:dyDescent="0.3">
      <c r="A12" s="24">
        <v>4</v>
      </c>
      <c r="B12" s="10" t="str">
        <f>"Boaro"</f>
        <v>Boaro</v>
      </c>
      <c r="C12" s="10" t="str">
        <f>"Kim"</f>
        <v>Kim</v>
      </c>
      <c r="D12" s="10" t="str">
        <f>"Shodan (1dan)"</f>
        <v>Shodan (1dan)</v>
      </c>
      <c r="E12" s="10" t="s">
        <v>21</v>
      </c>
      <c r="F12" s="11" t="str">
        <f>"North Bay Judo Club"</f>
        <v>North Bay Judo Club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 t="s">
        <v>17</v>
      </c>
      <c r="R12" s="15"/>
    </row>
    <row r="13" spans="1:18" ht="19.5" thickBot="1" x14ac:dyDescent="0.35">
      <c r="A13" s="25"/>
      <c r="B13" s="8" t="str">
        <f>"Reimer"</f>
        <v>Reimer</v>
      </c>
      <c r="C13" s="8" t="str">
        <f>"Cass"</f>
        <v>Cass</v>
      </c>
      <c r="D13" s="8" t="str">
        <f>"Shodan (1dan)"</f>
        <v>Shodan (1dan)</v>
      </c>
      <c r="E13" s="8" t="s">
        <v>21</v>
      </c>
      <c r="F13" s="12" t="str">
        <f>"Ronin Judo Club"</f>
        <v>Ronin Judo Club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17</v>
      </c>
      <c r="R13" s="17"/>
    </row>
    <row r="14" spans="1:18" ht="19.5" thickBot="1" x14ac:dyDescent="0.35">
      <c r="A14" s="24">
        <v>5</v>
      </c>
      <c r="B14" s="10" t="str">
        <f>"Bertrand"</f>
        <v>Bertrand</v>
      </c>
      <c r="C14" s="10" t="str">
        <f>"Jean-Claude"</f>
        <v>Jean-Claude</v>
      </c>
      <c r="D14" s="10" t="str">
        <f>"Nidan (2dan)"</f>
        <v>Nidan (2dan)</v>
      </c>
      <c r="E14" s="13" t="s">
        <v>22</v>
      </c>
      <c r="F14" s="11" t="str">
        <f>"C007 Club de judo St-Jean Bosco de Hull"</f>
        <v>C007 Club de judo St-Jean Bosco de Hull</v>
      </c>
      <c r="G14" s="14"/>
      <c r="H14" s="14"/>
      <c r="I14" s="14"/>
      <c r="J14" s="14"/>
      <c r="K14" s="14"/>
      <c r="L14" s="14"/>
      <c r="M14" s="14"/>
      <c r="N14" s="14"/>
      <c r="O14" s="14" t="s">
        <v>17</v>
      </c>
      <c r="P14" s="14"/>
      <c r="Q14" s="14"/>
      <c r="R14" s="15"/>
    </row>
    <row r="15" spans="1:18" ht="19.5" thickBot="1" x14ac:dyDescent="0.35">
      <c r="A15" s="25"/>
      <c r="B15" s="8" t="str">
        <f>"Vaillancourt"</f>
        <v>Vaillancourt</v>
      </c>
      <c r="C15" s="8" t="str">
        <f>"Louis"</f>
        <v>Louis</v>
      </c>
      <c r="D15" s="8" t="str">
        <f>"Sandan (3dan)"</f>
        <v>Sandan (3dan)</v>
      </c>
      <c r="E15" s="13" t="s">
        <v>22</v>
      </c>
      <c r="F15" s="12" t="str">
        <f>"Takahashi Dojo"</f>
        <v>Takahashi Dojo</v>
      </c>
      <c r="G15" s="16"/>
      <c r="H15" s="16"/>
      <c r="I15" s="16"/>
      <c r="J15" s="16"/>
      <c r="K15" s="16"/>
      <c r="L15" s="16"/>
      <c r="M15" s="16"/>
      <c r="N15" s="16"/>
      <c r="O15" s="16" t="s">
        <v>17</v>
      </c>
      <c r="P15" s="16"/>
      <c r="Q15" s="16"/>
      <c r="R15" s="17"/>
    </row>
    <row r="16" spans="1:18" ht="18.75" x14ac:dyDescent="0.3">
      <c r="A16" s="24">
        <v>6</v>
      </c>
      <c r="B16" s="10" t="str">
        <f>"McDonald"</f>
        <v>McDonald</v>
      </c>
      <c r="C16" s="10" t="str">
        <f>"Andrew"</f>
        <v>Andrew</v>
      </c>
      <c r="D16" s="10" t="str">
        <f>"1 Kyu (Ceinture marron)"</f>
        <v>1 Kyu (Ceinture marron)</v>
      </c>
      <c r="E16" s="10" t="s">
        <v>21</v>
      </c>
      <c r="F16" s="11" t="str">
        <f>"Takahashi Dojo"</f>
        <v>Takahashi Dojo</v>
      </c>
      <c r="G16" s="14"/>
      <c r="H16" s="14"/>
      <c r="I16" s="14"/>
      <c r="J16" s="14"/>
      <c r="K16" s="14"/>
      <c r="L16" s="14"/>
      <c r="M16" s="14"/>
      <c r="N16" s="14" t="s">
        <v>17</v>
      </c>
      <c r="O16" s="14"/>
      <c r="P16" s="14"/>
      <c r="Q16" s="14"/>
      <c r="R16" s="15"/>
    </row>
    <row r="17" spans="1:19" ht="19.5" thickBot="1" x14ac:dyDescent="0.35">
      <c r="A17" s="25"/>
      <c r="B17" s="8" t="str">
        <f>"Nakane"</f>
        <v>Nakane</v>
      </c>
      <c r="C17" s="8" t="str">
        <f>"Ryoichiro"</f>
        <v>Ryoichiro</v>
      </c>
      <c r="D17" s="8" t="str">
        <f>"1 Kyu (Ceinture marron)"</f>
        <v>1 Kyu (Ceinture marron)</v>
      </c>
      <c r="E17" s="8" t="s">
        <v>21</v>
      </c>
      <c r="F17" s="12" t="str">
        <f>"Takahashi Dojo"</f>
        <v>Takahashi Dojo</v>
      </c>
      <c r="G17" s="16"/>
      <c r="H17" s="16"/>
      <c r="I17" s="16"/>
      <c r="J17" s="16"/>
      <c r="K17" s="16"/>
      <c r="L17" s="16"/>
      <c r="M17" s="16"/>
      <c r="N17" s="16" t="s">
        <v>17</v>
      </c>
      <c r="O17" s="16"/>
      <c r="P17" s="16"/>
      <c r="Q17" s="16"/>
      <c r="R17" s="17"/>
    </row>
    <row r="18" spans="1:19" ht="18.75" x14ac:dyDescent="0.3">
      <c r="A18" s="24">
        <v>7</v>
      </c>
      <c r="B18" s="10" t="str">
        <f>"McDonald"</f>
        <v>McDonald</v>
      </c>
      <c r="C18" s="10" t="str">
        <f>"Andrew"</f>
        <v>Andrew</v>
      </c>
      <c r="D18" s="10" t="str">
        <f>"1 Kyu (Ceinture marron)"</f>
        <v>1 Kyu (Ceinture marron)</v>
      </c>
      <c r="E18" s="10" t="s">
        <v>21</v>
      </c>
      <c r="F18" s="11" t="str">
        <f>"Takahashi Dojo"</f>
        <v>Takahashi Dojo</v>
      </c>
      <c r="G18" s="14"/>
      <c r="H18" s="14"/>
      <c r="I18" s="14"/>
      <c r="J18" s="14"/>
      <c r="K18" s="14"/>
      <c r="L18" s="14"/>
      <c r="M18" s="14" t="s">
        <v>17</v>
      </c>
      <c r="N18" s="14"/>
      <c r="O18" s="14"/>
      <c r="P18" s="14"/>
      <c r="Q18" s="14"/>
      <c r="R18" s="15"/>
    </row>
    <row r="19" spans="1:19" ht="19.5" thickBot="1" x14ac:dyDescent="0.35">
      <c r="A19" s="25"/>
      <c r="B19" s="8" t="str">
        <f>"Nakane"</f>
        <v>Nakane</v>
      </c>
      <c r="C19" s="8" t="str">
        <f>"Ryoichiro"</f>
        <v>Ryoichiro</v>
      </c>
      <c r="D19" s="8" t="str">
        <f>"1 Kyu (Ceinture marron)"</f>
        <v>1 Kyu (Ceinture marron)</v>
      </c>
      <c r="E19" s="8" t="s">
        <v>21</v>
      </c>
      <c r="F19" s="12" t="str">
        <f>"Takahashi Dojo"</f>
        <v>Takahashi Dojo</v>
      </c>
      <c r="G19" s="16"/>
      <c r="H19" s="16"/>
      <c r="I19" s="16"/>
      <c r="J19" s="16"/>
      <c r="K19" s="16"/>
      <c r="L19" s="16"/>
      <c r="M19" s="16" t="s">
        <v>17</v>
      </c>
      <c r="N19" s="16"/>
      <c r="O19" s="16"/>
      <c r="P19" s="16"/>
      <c r="Q19" s="16"/>
      <c r="R19" s="17"/>
    </row>
    <row r="20" spans="1:19" ht="18.75" x14ac:dyDescent="0.3">
      <c r="A20" s="24">
        <v>8</v>
      </c>
      <c r="B20" s="10" t="str">
        <f>"Champagne"</f>
        <v>Champagne</v>
      </c>
      <c r="C20" s="10" t="str">
        <f>"Pascal"</f>
        <v>Pascal</v>
      </c>
      <c r="D20" s="10" t="str">
        <f>"1 Kyu (Ceinture marron)"</f>
        <v>1 Kyu (Ceinture marron)</v>
      </c>
      <c r="E20" s="13" t="s">
        <v>22</v>
      </c>
      <c r="F20" s="11" t="str">
        <f>"C291 Club Judo KonKi Do Kan"</f>
        <v>C291 Club Judo KonKi Do Kan</v>
      </c>
      <c r="G20" s="14"/>
      <c r="H20" s="14"/>
      <c r="I20" s="14"/>
      <c r="J20" s="14"/>
      <c r="K20" s="14"/>
      <c r="L20" s="14"/>
      <c r="M20" s="14" t="s">
        <v>17</v>
      </c>
      <c r="N20" s="14"/>
      <c r="O20" s="14"/>
      <c r="P20" s="14"/>
      <c r="Q20" s="14"/>
      <c r="R20" s="15"/>
    </row>
    <row r="21" spans="1:19" ht="19.5" thickBot="1" x14ac:dyDescent="0.35">
      <c r="A21" s="25"/>
      <c r="B21" s="8" t="str">
        <f>"Parent"</f>
        <v>Parent</v>
      </c>
      <c r="C21" s="8" t="str">
        <f>"Eric"</f>
        <v>Eric</v>
      </c>
      <c r="D21" s="8" t="str">
        <f>"Shodan (1dan)"</f>
        <v>Shodan (1dan)</v>
      </c>
      <c r="E21" s="8" t="s">
        <v>21</v>
      </c>
      <c r="F21" s="12" t="str">
        <f>"C291 Club Judo KonKi Do Kan"</f>
        <v>C291 Club Judo KonKi Do Kan</v>
      </c>
      <c r="G21" s="16"/>
      <c r="H21" s="16"/>
      <c r="I21" s="16"/>
      <c r="J21" s="16"/>
      <c r="K21" s="16"/>
      <c r="L21" s="16"/>
      <c r="M21" s="16" t="s">
        <v>17</v>
      </c>
      <c r="N21" s="16"/>
      <c r="O21" s="16"/>
      <c r="P21" s="16"/>
      <c r="Q21" s="16"/>
      <c r="R21" s="17"/>
    </row>
    <row r="22" spans="1:19" ht="18.75" x14ac:dyDescent="0.3">
      <c r="A22" s="24">
        <v>9</v>
      </c>
      <c r="B22" s="10" t="str">
        <f>"Takahashi"</f>
        <v>Takahashi</v>
      </c>
      <c r="C22" s="10" t="str">
        <f>"Allyn"</f>
        <v>Allyn</v>
      </c>
      <c r="D22" s="10" t="str">
        <f>"Godan (5dan)"</f>
        <v>Godan (5dan)</v>
      </c>
      <c r="E22" s="10" t="s">
        <v>21</v>
      </c>
      <c r="F22" s="11" t="str">
        <f>"Takahashi Dojo"</f>
        <v>Takahashi Dojo</v>
      </c>
      <c r="G22" s="14"/>
      <c r="H22" s="14"/>
      <c r="I22" s="14"/>
      <c r="J22" s="14"/>
      <c r="K22" s="14"/>
      <c r="L22" s="14"/>
      <c r="M22" s="14"/>
      <c r="N22" s="14"/>
      <c r="O22" s="14"/>
      <c r="P22" s="14" t="s">
        <v>17</v>
      </c>
      <c r="Q22" s="14"/>
      <c r="R22" s="15"/>
    </row>
    <row r="23" spans="1:19" ht="19.5" thickBot="1" x14ac:dyDescent="0.35">
      <c r="A23" s="25"/>
      <c r="B23" s="8" t="str">
        <f>"Walby"</f>
        <v>Walby</v>
      </c>
      <c r="C23" s="8" t="str">
        <f>"Tony"</f>
        <v>Tony</v>
      </c>
      <c r="D23" s="8" t="str">
        <f>"Rokudan (6dan)"</f>
        <v>Rokudan (6dan)</v>
      </c>
      <c r="E23" s="8" t="s">
        <v>21</v>
      </c>
      <c r="F23" s="12" t="str">
        <f>"Takahashi Dojo"</f>
        <v>Takahashi Dojo</v>
      </c>
      <c r="G23" s="16"/>
      <c r="H23" s="16"/>
      <c r="I23" s="16"/>
      <c r="J23" s="16"/>
      <c r="K23" s="16"/>
      <c r="L23" s="16"/>
      <c r="M23" s="16"/>
      <c r="N23" s="16"/>
      <c r="O23" s="16"/>
      <c r="P23" s="16" t="s">
        <v>17</v>
      </c>
      <c r="Q23" s="16"/>
      <c r="R23" s="17"/>
    </row>
    <row r="24" spans="1:19" ht="18.75" x14ac:dyDescent="0.3">
      <c r="A24" s="24">
        <v>10</v>
      </c>
      <c r="B24" s="10" t="str">
        <f>"Legros"</f>
        <v>Legros</v>
      </c>
      <c r="C24" s="10" t="str">
        <f>"Shane"</f>
        <v>Shane</v>
      </c>
      <c r="D24" s="10" t="str">
        <f>"Godan (5dan)"</f>
        <v>Godan (5dan)</v>
      </c>
      <c r="E24" s="10" t="s">
        <v>21</v>
      </c>
      <c r="F24" s="11" t="str">
        <f>"Jccc - Judo Kai"</f>
        <v>Jccc - Judo Kai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 t="s">
        <v>17</v>
      </c>
      <c r="R24" s="15"/>
    </row>
    <row r="25" spans="1:19" ht="19.5" thickBot="1" x14ac:dyDescent="0.35">
      <c r="A25" s="25"/>
      <c r="B25" s="8" t="str">
        <f>"Rusu"</f>
        <v>Rusu</v>
      </c>
      <c r="C25" s="8" t="str">
        <f>"Dan"</f>
        <v>Dan</v>
      </c>
      <c r="D25" s="8" t="str">
        <f>"Yondan (4dan)"</f>
        <v>Yondan (4dan)</v>
      </c>
      <c r="E25" s="8" t="s">
        <v>21</v>
      </c>
      <c r="F25" s="12" t="str">
        <f>"Midtown Judo - Kiyomizukan"</f>
        <v>Midtown Judo - Kiyomizukan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 t="s">
        <v>17</v>
      </c>
      <c r="R25" s="17"/>
    </row>
    <row r="26" spans="1:19" ht="18.75" x14ac:dyDescent="0.3">
      <c r="A26" s="24">
        <v>11</v>
      </c>
      <c r="B26" s="10" t="str">
        <f>"Legros"</f>
        <v>Legros</v>
      </c>
      <c r="C26" s="10" t="str">
        <f>"Shane"</f>
        <v>Shane</v>
      </c>
      <c r="D26" s="10" t="str">
        <f>"Godan (5dan)"</f>
        <v>Godan (5dan)</v>
      </c>
      <c r="E26" s="10" t="s">
        <v>21</v>
      </c>
      <c r="F26" s="11" t="str">
        <f>"Jccc - Judo Kai"</f>
        <v>Jccc - Judo Kai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 t="s">
        <v>17</v>
      </c>
    </row>
    <row r="27" spans="1:19" ht="19.5" thickBot="1" x14ac:dyDescent="0.35">
      <c r="A27" s="25"/>
      <c r="B27" s="8" t="str">
        <f>"Rusu"</f>
        <v>Rusu</v>
      </c>
      <c r="C27" s="8" t="str">
        <f>"Dan"</f>
        <v>Dan</v>
      </c>
      <c r="D27" s="8" t="str">
        <f>"Yondan (4dan)"</f>
        <v>Yondan (4dan)</v>
      </c>
      <c r="E27" s="8" t="s">
        <v>21</v>
      </c>
      <c r="F27" s="12" t="str">
        <f>"Midtown Judo - Kiyomizukan"</f>
        <v>Midtown Judo - Kiyomizukan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 t="s">
        <v>17</v>
      </c>
    </row>
    <row r="28" spans="1:19" ht="18.75" x14ac:dyDescent="0.3">
      <c r="A28" s="24">
        <v>12</v>
      </c>
      <c r="B28" s="10" t="str">
        <f>"Daviau"</f>
        <v>Daviau</v>
      </c>
      <c r="C28" s="10" t="str">
        <f>"Samuel"</f>
        <v>Samuel</v>
      </c>
      <c r="D28" s="10" t="str">
        <f>"Shodan (1dan)"</f>
        <v>Shodan (1dan)</v>
      </c>
      <c r="E28" s="13" t="s">
        <v>22</v>
      </c>
      <c r="F28" s="11" t="str">
        <f>"C090 Club de judo Saint-Hyacinthe Inc."</f>
        <v>C090 Club de judo Saint-Hyacinthe Inc.</v>
      </c>
      <c r="G28" s="14"/>
      <c r="H28" s="14"/>
      <c r="I28" s="14"/>
      <c r="J28" s="14"/>
      <c r="K28" s="14"/>
      <c r="L28" s="14"/>
      <c r="M28" s="14"/>
      <c r="N28" s="14" t="s">
        <v>17</v>
      </c>
      <c r="O28" s="14"/>
      <c r="P28" s="14"/>
      <c r="Q28" s="14"/>
      <c r="R28" s="15"/>
    </row>
    <row r="29" spans="1:19" ht="19.5" thickBot="1" x14ac:dyDescent="0.35">
      <c r="A29" s="25"/>
      <c r="B29" s="8" t="str">
        <f>"Guertin"</f>
        <v>Guertin</v>
      </c>
      <c r="C29" s="8" t="str">
        <f>"Sylvie"</f>
        <v>Sylvie</v>
      </c>
      <c r="D29" s="8" t="str">
        <f>"Godan (5dan)"</f>
        <v>Godan (5dan)</v>
      </c>
      <c r="E29" s="8" t="s">
        <v>21</v>
      </c>
      <c r="F29" s="12" t="str">
        <f>"C090 Club de judo Saint-Hyacinthe Inc."</f>
        <v>C090 Club de judo Saint-Hyacinthe Inc.</v>
      </c>
      <c r="G29" s="16"/>
      <c r="H29" s="16"/>
      <c r="I29" s="16"/>
      <c r="J29" s="16"/>
      <c r="K29" s="16"/>
      <c r="L29" s="16"/>
      <c r="M29" s="16"/>
      <c r="N29" s="16" t="s">
        <v>17</v>
      </c>
      <c r="O29" s="16"/>
      <c r="P29" s="16"/>
      <c r="Q29" s="16"/>
      <c r="R29" s="17"/>
      <c r="S29" s="7"/>
    </row>
    <row r="30" spans="1:19" ht="18.75" x14ac:dyDescent="0.3">
      <c r="A30" s="24">
        <v>13</v>
      </c>
      <c r="B30" s="10" t="str">
        <f>"Mallory"</f>
        <v>Mallory</v>
      </c>
      <c r="C30" s="10" t="str">
        <f>"John"</f>
        <v>John</v>
      </c>
      <c r="D30" s="10" t="str">
        <f>"Rokudan (6dan)"</f>
        <v>Rokudan (6dan)</v>
      </c>
      <c r="E30" s="10" t="s">
        <v>21</v>
      </c>
      <c r="F30" s="11" t="str">
        <f>"Shimpokai Judo Club"</f>
        <v>Shimpokai Judo Club</v>
      </c>
      <c r="G30" s="14"/>
      <c r="H30" s="14"/>
      <c r="I30" s="14"/>
      <c r="J30" s="14"/>
      <c r="K30" s="14"/>
      <c r="L30" s="14"/>
      <c r="M30" s="14"/>
      <c r="N30" s="14"/>
      <c r="O30" s="14"/>
      <c r="P30" s="14" t="s">
        <v>17</v>
      </c>
      <c r="Q30" s="14"/>
      <c r="R30" s="15"/>
    </row>
    <row r="31" spans="1:19" ht="19.5" thickBot="1" x14ac:dyDescent="0.35">
      <c r="A31" s="25"/>
      <c r="B31" s="8" t="str">
        <f>"Stears"</f>
        <v>Stears</v>
      </c>
      <c r="C31" s="8" t="str">
        <f>"Jason"</f>
        <v>Jason</v>
      </c>
      <c r="D31" s="8" t="str">
        <f>"Yondan (4dan)"</f>
        <v>Yondan (4dan)</v>
      </c>
      <c r="E31" s="8" t="s">
        <v>21</v>
      </c>
      <c r="F31" s="12" t="str">
        <f>"Shimpokai Judo Club"</f>
        <v>Shimpokai Judo Club</v>
      </c>
      <c r="G31" s="16"/>
      <c r="H31" s="16"/>
      <c r="I31" s="16"/>
      <c r="J31" s="16"/>
      <c r="K31" s="16"/>
      <c r="L31" s="16"/>
      <c r="M31" s="16"/>
      <c r="N31" s="16"/>
      <c r="O31" s="16"/>
      <c r="P31" s="16" t="s">
        <v>17</v>
      </c>
      <c r="Q31" s="16"/>
      <c r="R31" s="17"/>
    </row>
    <row r="32" spans="1:19" ht="18.75" x14ac:dyDescent="0.3">
      <c r="A32" s="24">
        <v>14</v>
      </c>
      <c r="B32" s="10" t="str">
        <f>"Dufour"</f>
        <v>Dufour</v>
      </c>
      <c r="C32" s="10" t="str">
        <f>"Simon"</f>
        <v>Simon</v>
      </c>
      <c r="D32" s="10" t="str">
        <f>"Nidan (2dan)"</f>
        <v>Nidan (2dan)</v>
      </c>
      <c r="E32" s="13" t="s">
        <v>22</v>
      </c>
      <c r="F32" s="11" t="str">
        <f>"C090 Club de judo Saint-Hyacinthe Inc."</f>
        <v>C090 Club de judo Saint-Hyacinthe Inc.</v>
      </c>
      <c r="G32" s="14"/>
      <c r="H32" s="14"/>
      <c r="I32" s="14"/>
      <c r="J32" s="14"/>
      <c r="K32" s="14"/>
      <c r="L32" s="14"/>
      <c r="M32" s="14"/>
      <c r="N32" s="14"/>
      <c r="O32" s="14" t="s">
        <v>17</v>
      </c>
      <c r="P32" s="14"/>
      <c r="Q32" s="14"/>
      <c r="R32" s="15"/>
    </row>
    <row r="33" spans="1:18" ht="19.5" thickBot="1" x14ac:dyDescent="0.35">
      <c r="A33" s="25"/>
      <c r="B33" s="8" t="str">
        <f>"Dutremble"</f>
        <v>Dutremble</v>
      </c>
      <c r="C33" s="8" t="str">
        <f>"Philippe"</f>
        <v>Philippe</v>
      </c>
      <c r="D33" s="8" t="str">
        <f>"Godan (5dan)"</f>
        <v>Godan (5dan)</v>
      </c>
      <c r="E33" s="8" t="s">
        <v>21</v>
      </c>
      <c r="F33" s="12" t="str">
        <f>"Club de judo St-Hyacinthe"</f>
        <v>Club de judo St-Hyacinthe</v>
      </c>
      <c r="G33" s="16"/>
      <c r="H33" s="16"/>
      <c r="I33" s="16"/>
      <c r="J33" s="16"/>
      <c r="K33" s="16"/>
      <c r="L33" s="16"/>
      <c r="M33" s="16"/>
      <c r="N33" s="16"/>
      <c r="O33" s="16" t="s">
        <v>17</v>
      </c>
      <c r="P33" s="16"/>
      <c r="Q33" s="16"/>
      <c r="R33" s="17"/>
    </row>
    <row r="34" spans="1:18" ht="18.75" x14ac:dyDescent="0.3">
      <c r="A34" s="24">
        <v>15</v>
      </c>
      <c r="B34" s="10" t="str">
        <f>"Dutremble"</f>
        <v>Dutremble</v>
      </c>
      <c r="C34" s="10" t="str">
        <f>"Simon"</f>
        <v>Simon</v>
      </c>
      <c r="D34" s="10" t="str">
        <f>"Yondan (4dan)"</f>
        <v>Yondan (4dan)</v>
      </c>
      <c r="E34" s="13" t="s">
        <v>22</v>
      </c>
      <c r="F34" s="11" t="str">
        <f>"C136 Club de judo Vallée du Richelieu"</f>
        <v>C136 Club de judo Vallée du Richelieu</v>
      </c>
      <c r="G34" s="14"/>
      <c r="H34" s="14"/>
      <c r="I34" s="14"/>
      <c r="J34" s="14"/>
      <c r="K34" s="14"/>
      <c r="L34" s="14"/>
      <c r="M34" s="14"/>
      <c r="N34" s="14"/>
      <c r="O34" s="14"/>
      <c r="P34" s="14" t="s">
        <v>17</v>
      </c>
      <c r="Q34" s="14"/>
      <c r="R34" s="15"/>
    </row>
    <row r="35" spans="1:18" ht="19.5" thickBot="1" x14ac:dyDescent="0.35">
      <c r="A35" s="25"/>
      <c r="B35" s="8" t="str">
        <f>"Dutremble"</f>
        <v>Dutremble</v>
      </c>
      <c r="C35" s="8" t="str">
        <f>"Philippe"</f>
        <v>Philippe</v>
      </c>
      <c r="D35" s="8" t="str">
        <f>"Godan (5dan)"</f>
        <v>Godan (5dan)</v>
      </c>
      <c r="E35" s="8" t="s">
        <v>21</v>
      </c>
      <c r="F35" s="12" t="str">
        <f>"Club de judo St-Hyacinthe"</f>
        <v>Club de judo St-Hyacinthe</v>
      </c>
      <c r="G35" s="16"/>
      <c r="H35" s="16"/>
      <c r="I35" s="16"/>
      <c r="J35" s="16"/>
      <c r="K35" s="16"/>
      <c r="L35" s="16"/>
      <c r="M35" s="16"/>
      <c r="N35" s="16"/>
      <c r="O35" s="16"/>
      <c r="P35" s="16" t="s">
        <v>17</v>
      </c>
      <c r="Q35" s="16"/>
      <c r="R35" s="17"/>
    </row>
    <row r="36" spans="1:18" ht="18.75" x14ac:dyDescent="0.3">
      <c r="A36" s="24">
        <v>16</v>
      </c>
      <c r="B36" s="10" t="str">
        <f>"Dutremble"</f>
        <v>Dutremble</v>
      </c>
      <c r="C36" s="10" t="str">
        <f>"Simon"</f>
        <v>Simon</v>
      </c>
      <c r="D36" s="10" t="str">
        <f>"Yondan (4dan)"</f>
        <v>Yondan (4dan)</v>
      </c>
      <c r="E36" s="13" t="s">
        <v>22</v>
      </c>
      <c r="F36" s="11" t="str">
        <f>"C136 Club de judo Vallée du Richelieu"</f>
        <v>C136 Club de judo Vallée du Richelieu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 t="s">
        <v>17</v>
      </c>
    </row>
    <row r="37" spans="1:18" ht="19.5" thickBot="1" x14ac:dyDescent="0.35">
      <c r="A37" s="25"/>
      <c r="B37" s="8" t="str">
        <f>"Dutremble"</f>
        <v>Dutremble</v>
      </c>
      <c r="C37" s="8" t="str">
        <f>"Philippe"</f>
        <v>Philippe</v>
      </c>
      <c r="D37" s="8" t="str">
        <f>"Godan (5dan)"</f>
        <v>Godan (5dan)</v>
      </c>
      <c r="E37" s="8" t="s">
        <v>21</v>
      </c>
      <c r="F37" s="12" t="str">
        <f>"Club de judo St-Hyacinthe"</f>
        <v>Club de judo St-Hyacinthe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 t="s">
        <v>17</v>
      </c>
    </row>
    <row r="38" spans="1:18" ht="18.75" x14ac:dyDescent="0.3">
      <c r="A38" s="24">
        <v>17</v>
      </c>
      <c r="B38" s="10" t="str">
        <f>"Robbe"</f>
        <v>Robbe</v>
      </c>
      <c r="C38" s="10" t="str">
        <f>"Remi"</f>
        <v>Remi</v>
      </c>
      <c r="D38" s="10" t="str">
        <f>"Yondan (4dan)"</f>
        <v>Yondan (4dan)</v>
      </c>
      <c r="E38" s="10" t="s">
        <v>21</v>
      </c>
      <c r="F38" s="11" t="str">
        <f>"C095 Club de judo Hakudokan"</f>
        <v>C095 Club de judo Hakudokan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 t="s">
        <v>17</v>
      </c>
    </row>
    <row r="39" spans="1:18" ht="19.5" thickBot="1" x14ac:dyDescent="0.35">
      <c r="A39" s="25"/>
      <c r="B39" s="8" t="str">
        <f>"Flayeux"</f>
        <v>Flayeux</v>
      </c>
      <c r="C39" s="8" t="str">
        <f>"Jean Pierre"</f>
        <v>Jean Pierre</v>
      </c>
      <c r="D39" s="8" t="str">
        <f>"Godan (5dan)"</f>
        <v>Godan (5dan)</v>
      </c>
      <c r="E39" s="8" t="s">
        <v>21</v>
      </c>
      <c r="F39" s="12" t="str">
        <f>"C095 Club de judo Hakudokan"</f>
        <v>C095 Club de judo Hakudokan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 t="s">
        <v>17</v>
      </c>
    </row>
    <row r="40" spans="1:18" ht="18.75" x14ac:dyDescent="0.3">
      <c r="A40" s="24">
        <v>18</v>
      </c>
      <c r="B40" s="10" t="str">
        <f>"Ferland"</f>
        <v>Ferland</v>
      </c>
      <c r="C40" s="10" t="str">
        <f>"Danielle"</f>
        <v>Danielle</v>
      </c>
      <c r="D40" s="10" t="str">
        <f>"Shichidan (7dan)"</f>
        <v>Shichidan (7dan)</v>
      </c>
      <c r="E40" s="10" t="s">
        <v>21</v>
      </c>
      <c r="F40" s="11" t="str">
        <f>"C012 Kyo Shi Do Kan"</f>
        <v>C012 Kyo Shi Do Kan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 t="s">
        <v>17</v>
      </c>
      <c r="R40" s="15"/>
    </row>
    <row r="41" spans="1:18" ht="19.5" thickBot="1" x14ac:dyDescent="0.35">
      <c r="A41" s="25"/>
      <c r="B41" s="8" t="str">
        <f>"Lachaine"</f>
        <v>Lachaine</v>
      </c>
      <c r="C41" s="8" t="str">
        <f>"Aiko"</f>
        <v>Aiko</v>
      </c>
      <c r="D41" s="8" t="str">
        <f>"Nidan (2dan)"</f>
        <v>Nidan (2dan)</v>
      </c>
      <c r="E41" s="8" t="s">
        <v>21</v>
      </c>
      <c r="F41" s="12" t="str">
        <f>"C012 Kyo Shi Do Kan"</f>
        <v>C012 Kyo Shi Do Kan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 t="s">
        <v>17</v>
      </c>
      <c r="R41" s="17"/>
    </row>
    <row r="42" spans="1:18" ht="18.75" x14ac:dyDescent="0.3">
      <c r="A42" s="24">
        <v>19</v>
      </c>
      <c r="B42" s="10" t="str">
        <f>"Bonney"</f>
        <v>Bonney</v>
      </c>
      <c r="C42" s="10" t="str">
        <f>"Frederic"</f>
        <v>Frederic</v>
      </c>
      <c r="D42" s="10" t="str">
        <f>"1 Kyu (Ceinture marron)"</f>
        <v>1 Kyu (Ceinture marron)</v>
      </c>
      <c r="E42" s="13" t="s">
        <v>22</v>
      </c>
      <c r="F42" s="11" t="str">
        <f>"C357 Club de Judo centre Multisports"</f>
        <v>C357 Club de Judo centre Multisports</v>
      </c>
      <c r="G42" s="14"/>
      <c r="H42" s="14"/>
      <c r="I42" s="14"/>
      <c r="J42" s="14"/>
      <c r="K42" s="14"/>
      <c r="L42" s="14"/>
      <c r="M42" s="14" t="s">
        <v>17</v>
      </c>
      <c r="N42" s="14"/>
      <c r="O42" s="14"/>
      <c r="P42" s="14"/>
      <c r="Q42" s="14"/>
      <c r="R42" s="15"/>
    </row>
    <row r="43" spans="1:18" ht="19.5" thickBot="1" x14ac:dyDescent="0.35">
      <c r="A43" s="25"/>
      <c r="B43" s="8" t="str">
        <f>"Croteau"</f>
        <v>Croteau</v>
      </c>
      <c r="C43" s="8" t="str">
        <f>"Martin"</f>
        <v>Martin</v>
      </c>
      <c r="D43" s="8" t="str">
        <f>"Sandan (3dan)"</f>
        <v>Sandan (3dan)</v>
      </c>
      <c r="E43" s="8" t="s">
        <v>21</v>
      </c>
      <c r="F43" s="12" t="str">
        <f>"C357 Club de Judo centre Multisports"</f>
        <v>C357 Club de Judo centre Multisports</v>
      </c>
      <c r="G43" s="16"/>
      <c r="H43" s="16"/>
      <c r="I43" s="16"/>
      <c r="J43" s="16"/>
      <c r="K43" s="16"/>
      <c r="L43" s="16"/>
      <c r="M43" s="16" t="s">
        <v>17</v>
      </c>
      <c r="N43" s="16"/>
      <c r="O43" s="16"/>
      <c r="P43" s="16"/>
      <c r="Q43" s="16"/>
      <c r="R43" s="17"/>
    </row>
    <row r="44" spans="1:18" ht="18.75" x14ac:dyDescent="0.3">
      <c r="A44" s="24">
        <v>20</v>
      </c>
      <c r="B44" s="10" t="str">
        <f>"Palmer"</f>
        <v>Palmer</v>
      </c>
      <c r="C44" s="10" t="str">
        <f>"Kelly"</f>
        <v>Kelly</v>
      </c>
      <c r="D44" s="10" t="str">
        <f>"Rokudan (6dan)"</f>
        <v>Rokudan (6dan)</v>
      </c>
      <c r="E44" s="10" t="s">
        <v>21</v>
      </c>
      <c r="F44" s="11" t="str">
        <f>"U Of Alberta Judo Club"</f>
        <v>U Of Alberta Judo Club</v>
      </c>
      <c r="G44" s="14"/>
      <c r="H44" s="14"/>
      <c r="I44" s="14"/>
      <c r="J44" s="14"/>
      <c r="K44" s="14"/>
      <c r="L44" s="14"/>
      <c r="M44" s="14"/>
      <c r="N44" s="14"/>
      <c r="O44" s="14" t="s">
        <v>17</v>
      </c>
      <c r="P44" s="14"/>
      <c r="Q44" s="14"/>
      <c r="R44" s="15"/>
    </row>
    <row r="45" spans="1:18" ht="19.5" thickBot="1" x14ac:dyDescent="0.35">
      <c r="A45" s="25"/>
      <c r="B45" s="8" t="str">
        <f>"Enns"</f>
        <v>Enns</v>
      </c>
      <c r="C45" s="8" t="str">
        <f>"Wesley"</f>
        <v>Wesley</v>
      </c>
      <c r="D45" s="8" t="str">
        <f>"Yondan (4dan)"</f>
        <v>Yondan (4dan)</v>
      </c>
      <c r="E45" s="8" t="s">
        <v>21</v>
      </c>
      <c r="F45" s="12" t="str">
        <f>"Tolide Judo Kwai"</f>
        <v>Tolide Judo Kwai</v>
      </c>
      <c r="G45" s="16"/>
      <c r="H45" s="16"/>
      <c r="I45" s="16"/>
      <c r="J45" s="16"/>
      <c r="K45" s="16"/>
      <c r="L45" s="16"/>
      <c r="M45" s="16"/>
      <c r="N45" s="16"/>
      <c r="O45" s="16" t="s">
        <v>17</v>
      </c>
      <c r="P45" s="16"/>
      <c r="Q45" s="16"/>
      <c r="R45" s="17"/>
    </row>
    <row r="46" spans="1:18" ht="18.75" x14ac:dyDescent="0.3">
      <c r="A46" s="24">
        <v>21</v>
      </c>
      <c r="B46" s="10" t="str">
        <f>"Palmer"</f>
        <v>Palmer</v>
      </c>
      <c r="C46" s="10" t="str">
        <f>"Kelly"</f>
        <v>Kelly</v>
      </c>
      <c r="D46" s="10" t="str">
        <f>"Rokudan (6dan)"</f>
        <v>Rokudan (6dan)</v>
      </c>
      <c r="E46" s="10" t="s">
        <v>21</v>
      </c>
      <c r="F46" s="11" t="str">
        <f>"U Of Alberta Judo Club"</f>
        <v>U Of Alberta Judo Club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17</v>
      </c>
      <c r="R46" s="15"/>
    </row>
    <row r="47" spans="1:18" ht="19.5" thickBot="1" x14ac:dyDescent="0.35">
      <c r="A47" s="25"/>
      <c r="B47" s="8" t="str">
        <f>"Enns"</f>
        <v>Enns</v>
      </c>
      <c r="C47" s="8" t="str">
        <f>"Wesley"</f>
        <v>Wesley</v>
      </c>
      <c r="D47" s="8" t="str">
        <f>"Yondan (4dan)"</f>
        <v>Yondan (4dan)</v>
      </c>
      <c r="E47" s="8" t="s">
        <v>21</v>
      </c>
      <c r="F47" s="12" t="str">
        <f>"Tolide Judo Kwai"</f>
        <v>Tolide Judo Kwai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 t="s">
        <v>17</v>
      </c>
      <c r="R47" s="17"/>
    </row>
    <row r="48" spans="1:18" ht="18.75" x14ac:dyDescent="0.3">
      <c r="A48" s="24">
        <v>22</v>
      </c>
      <c r="B48" s="10" t="str">
        <f>"Girondier"</f>
        <v>Girondier</v>
      </c>
      <c r="C48" s="10" t="str">
        <f>"Elza"</f>
        <v>Elza</v>
      </c>
      <c r="D48" s="10" t="str">
        <f>"1 Kyu (Ceinture marron)"</f>
        <v>1 Kyu (Ceinture marron)</v>
      </c>
      <c r="E48" s="13" t="s">
        <v>22</v>
      </c>
      <c r="F48" s="11" t="str">
        <f>"C009 Club de judo To Haku kan inc."</f>
        <v>C009 Club de judo To Haku kan inc.</v>
      </c>
      <c r="G48" s="14"/>
      <c r="H48" s="14" t="s">
        <v>17</v>
      </c>
      <c r="I48" s="14"/>
      <c r="J48" s="14"/>
      <c r="K48" s="14"/>
      <c r="L48" s="14"/>
      <c r="M48" s="14"/>
      <c r="N48" s="14"/>
      <c r="O48" s="14"/>
      <c r="P48" s="14"/>
      <c r="Q48" s="14"/>
      <c r="R48" s="15"/>
    </row>
    <row r="49" spans="1:18" ht="19.5" thickBot="1" x14ac:dyDescent="0.35">
      <c r="A49" s="25"/>
      <c r="B49" s="8" t="str">
        <f>"Fecteau"</f>
        <v>Fecteau</v>
      </c>
      <c r="C49" s="8" t="str">
        <f>"Marianne"</f>
        <v>Marianne</v>
      </c>
      <c r="D49" s="8" t="str">
        <f>"3 Kyu (Ceinture verte)"</f>
        <v>3 Kyu (Ceinture verte)</v>
      </c>
      <c r="E49" s="8" t="s">
        <v>21</v>
      </c>
      <c r="F49" s="12" t="str">
        <f>"C009 Club de judo To Haku kan inc."</f>
        <v>C009 Club de judo To Haku kan inc.</v>
      </c>
      <c r="G49" s="16"/>
      <c r="H49" s="16" t="s">
        <v>17</v>
      </c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1:18" ht="18.75" x14ac:dyDescent="0.3">
      <c r="A50" s="24">
        <v>23</v>
      </c>
      <c r="B50" s="10" t="str">
        <f>"Blouin"</f>
        <v>Blouin</v>
      </c>
      <c r="C50" s="10" t="str">
        <f>"Frederic"</f>
        <v>Frederic</v>
      </c>
      <c r="D50" s="10" t="str">
        <f>"1 Kyu (Ceinture marron)"</f>
        <v>1 Kyu (Ceinture marron)</v>
      </c>
      <c r="E50" s="13" t="s">
        <v>22</v>
      </c>
      <c r="F50" s="11" t="str">
        <f>"C090 Club de judo Saint-Hyacinthe Inc."</f>
        <v>C090 Club de judo Saint-Hyacinthe Inc.</v>
      </c>
      <c r="G50" s="14"/>
      <c r="H50" s="14"/>
      <c r="I50" s="14"/>
      <c r="J50" s="14"/>
      <c r="K50" s="14"/>
      <c r="L50" s="14"/>
      <c r="M50" s="14" t="s">
        <v>17</v>
      </c>
      <c r="N50" s="14"/>
      <c r="O50" s="14"/>
      <c r="P50" s="14"/>
      <c r="Q50" s="14"/>
      <c r="R50" s="15"/>
    </row>
    <row r="51" spans="1:18" ht="19.5" thickBot="1" x14ac:dyDescent="0.35">
      <c r="A51" s="25"/>
      <c r="B51" s="8" t="str">
        <f>"Fournier"</f>
        <v>Fournier</v>
      </c>
      <c r="C51" s="8" t="str">
        <f>"Francois"</f>
        <v>Francois</v>
      </c>
      <c r="D51" s="8" t="str">
        <f>"Shodan (1dan)"</f>
        <v>Shodan (1dan)</v>
      </c>
      <c r="E51" s="8" t="s">
        <v>21</v>
      </c>
      <c r="F51" s="12" t="str">
        <f>"C090 Club de judo Saint-Hyacinthe Inc."</f>
        <v>C090 Club de judo Saint-Hyacinthe Inc.</v>
      </c>
      <c r="G51" s="16"/>
      <c r="H51" s="16"/>
      <c r="I51" s="16"/>
      <c r="J51" s="16"/>
      <c r="K51" s="16"/>
      <c r="L51" s="16"/>
      <c r="M51" s="16" t="s">
        <v>17</v>
      </c>
      <c r="N51" s="16"/>
      <c r="O51" s="16"/>
      <c r="P51" s="16"/>
      <c r="Q51" s="16"/>
      <c r="R51" s="17"/>
    </row>
    <row r="52" spans="1:18" ht="18.75" x14ac:dyDescent="0.3">
      <c r="A52" s="24">
        <v>24</v>
      </c>
      <c r="B52" s="10" t="str">
        <f>"Fournier"</f>
        <v>Fournier</v>
      </c>
      <c r="C52" s="10" t="str">
        <f>"Ivan"</f>
        <v>Ivan</v>
      </c>
      <c r="D52" s="10" t="str">
        <f>"Shodan (1dan)"</f>
        <v>Shodan (1dan)</v>
      </c>
      <c r="E52" s="10" t="s">
        <v>21</v>
      </c>
      <c r="F52" s="11" t="str">
        <f>"C194 Club de judo Judo-Tech"</f>
        <v>C194 Club de judo Judo-Tech</v>
      </c>
      <c r="G52" s="14"/>
      <c r="H52" s="14"/>
      <c r="I52" s="14"/>
      <c r="J52" s="14"/>
      <c r="K52" s="14"/>
      <c r="L52" s="14"/>
      <c r="M52" s="14"/>
      <c r="N52" s="14"/>
      <c r="O52" s="14"/>
      <c r="P52" s="14" t="s">
        <v>17</v>
      </c>
      <c r="Q52" s="14"/>
      <c r="R52" s="15"/>
    </row>
    <row r="53" spans="1:18" ht="19.5" thickBot="1" x14ac:dyDescent="0.35">
      <c r="A53" s="25"/>
      <c r="B53" s="8" t="str">
        <f>"Pelletier"</f>
        <v>Pelletier</v>
      </c>
      <c r="C53" s="8" t="str">
        <f>"Pierre"</f>
        <v>Pierre</v>
      </c>
      <c r="D53" s="8" t="str">
        <f>"Shodan (1dan)"</f>
        <v>Shodan (1dan)</v>
      </c>
      <c r="E53" s="8" t="s">
        <v>21</v>
      </c>
      <c r="F53" s="12" t="str">
        <f>"C194 Club de judo Judo-Tech"</f>
        <v>C194 Club de judo Judo-Tech</v>
      </c>
      <c r="G53" s="16"/>
      <c r="H53" s="16"/>
      <c r="I53" s="16"/>
      <c r="J53" s="16"/>
      <c r="K53" s="16"/>
      <c r="L53" s="16"/>
      <c r="M53" s="16"/>
      <c r="N53" s="16"/>
      <c r="O53" s="16"/>
      <c r="P53" s="16" t="s">
        <v>17</v>
      </c>
      <c r="Q53" s="16"/>
      <c r="R53" s="17"/>
    </row>
    <row r="54" spans="1:18" ht="18.75" x14ac:dyDescent="0.3">
      <c r="A54" s="24">
        <v>25</v>
      </c>
      <c r="B54" s="10" t="str">
        <f>"Majunke"</f>
        <v>Majunke</v>
      </c>
      <c r="C54" s="10" t="str">
        <f>"Linda"</f>
        <v>Linda</v>
      </c>
      <c r="D54" s="10" t="str">
        <f>"Sandan (3dan)"</f>
        <v>Sandan (3dan)</v>
      </c>
      <c r="E54" s="10" t="s">
        <v>21</v>
      </c>
      <c r="F54" s="11" t="str">
        <f>"Kohbukan-Sisu Judo Club"</f>
        <v>Kohbukan-Sisu Judo Club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 t="s">
        <v>17</v>
      </c>
      <c r="R54" s="15"/>
    </row>
    <row r="55" spans="1:18" ht="19.5" thickBot="1" x14ac:dyDescent="0.35">
      <c r="A55" s="25"/>
      <c r="B55" s="8" t="str">
        <f>"Maselli-Jackman"</f>
        <v>Maselli-Jackman</v>
      </c>
      <c r="C55" s="8" t="str">
        <f>"Linda"</f>
        <v>Linda</v>
      </c>
      <c r="D55" s="8" t="str">
        <f>"Shodan (1dan)"</f>
        <v>Shodan (1dan)</v>
      </c>
      <c r="E55" s="8" t="s">
        <v>21</v>
      </c>
      <c r="F55" s="12" t="str">
        <f>"Peel Judo Club"</f>
        <v>Peel Judo Club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17</v>
      </c>
      <c r="R55" s="17"/>
    </row>
    <row r="56" spans="1:18" ht="18.75" x14ac:dyDescent="0.3">
      <c r="A56" s="24">
        <v>26</v>
      </c>
      <c r="B56" s="10" t="str">
        <f>"Bird"</f>
        <v>Bird</v>
      </c>
      <c r="C56" s="10" t="str">
        <f>"Daniel"</f>
        <v>Daniel</v>
      </c>
      <c r="D56" s="10" t="str">
        <f>"Sandan (3dan)"</f>
        <v>Sandan (3dan)</v>
      </c>
      <c r="E56" s="10" t="s">
        <v>21</v>
      </c>
      <c r="F56" s="11" t="str">
        <f>"Kawasaki Rendokan"</f>
        <v>Kawasaki Rendokan</v>
      </c>
      <c r="G56" s="14"/>
      <c r="H56" s="14"/>
      <c r="I56" s="14"/>
      <c r="J56" s="14"/>
      <c r="K56" s="14"/>
      <c r="L56" s="14"/>
      <c r="M56" s="14"/>
      <c r="N56" s="14"/>
      <c r="O56" s="14"/>
      <c r="P56" s="14" t="s">
        <v>17</v>
      </c>
      <c r="Q56" s="14"/>
      <c r="R56" s="15"/>
    </row>
    <row r="57" spans="1:18" ht="19.5" thickBot="1" x14ac:dyDescent="0.35">
      <c r="A57" s="25"/>
      <c r="B57" s="8" t="str">
        <f>"Naeimi"</f>
        <v>Naeimi</v>
      </c>
      <c r="C57" s="8" t="str">
        <f>"Masoud"</f>
        <v>Masoud</v>
      </c>
      <c r="D57" s="8" t="str">
        <f>"Nidan (2dan)"</f>
        <v>Nidan (2dan)</v>
      </c>
      <c r="E57" s="8" t="s">
        <v>21</v>
      </c>
      <c r="F57" s="12" t="str">
        <f>"Centre for Martial Arts"</f>
        <v>Centre for Martial Arts</v>
      </c>
      <c r="G57" s="16"/>
      <c r="H57" s="16"/>
      <c r="I57" s="16"/>
      <c r="J57" s="16"/>
      <c r="K57" s="16"/>
      <c r="L57" s="16"/>
      <c r="M57" s="16"/>
      <c r="N57" s="16"/>
      <c r="O57" s="16"/>
      <c r="P57" s="16" t="s">
        <v>17</v>
      </c>
      <c r="Q57" s="16"/>
      <c r="R57" s="17"/>
    </row>
    <row r="58" spans="1:18" ht="18.75" x14ac:dyDescent="0.3">
      <c r="A58" s="24">
        <v>27</v>
      </c>
      <c r="B58" s="10" t="str">
        <f>"Zupancic"</f>
        <v>Zupancic</v>
      </c>
      <c r="C58" s="10" t="str">
        <f>"Edward"</f>
        <v>Edward</v>
      </c>
      <c r="D58" s="10" t="str">
        <f>"Rokudan (6dan)"</f>
        <v>Rokudan (6dan)</v>
      </c>
      <c r="E58" s="10" t="s">
        <v>21</v>
      </c>
      <c r="F58" s="11" t="str">
        <f>"Formokan Judo Club"</f>
        <v>Formokan Judo Club</v>
      </c>
      <c r="G58" s="14"/>
      <c r="H58" s="14"/>
      <c r="I58" s="14"/>
      <c r="J58" s="14"/>
      <c r="K58" s="14"/>
      <c r="L58" s="14"/>
      <c r="M58" s="14"/>
      <c r="N58" s="14"/>
      <c r="O58" s="14" t="s">
        <v>17</v>
      </c>
      <c r="P58" s="14"/>
      <c r="Q58" s="14"/>
      <c r="R58" s="15"/>
    </row>
    <row r="59" spans="1:18" ht="19.5" thickBot="1" x14ac:dyDescent="0.35">
      <c r="A59" s="25"/>
      <c r="B59" s="8" t="str">
        <f>"Oudovikine"</f>
        <v>Oudovikine</v>
      </c>
      <c r="C59" s="8" t="str">
        <f>"Andrei"</f>
        <v>Andrei</v>
      </c>
      <c r="D59" s="8" t="str">
        <f>"Nidan (2dan)"</f>
        <v>Nidan (2dan)</v>
      </c>
      <c r="E59" s="8" t="s">
        <v>21</v>
      </c>
      <c r="F59" s="12" t="str">
        <f>"Taifu Judo Club"</f>
        <v>Taifu Judo Club</v>
      </c>
      <c r="G59" s="16"/>
      <c r="H59" s="16"/>
      <c r="I59" s="16"/>
      <c r="J59" s="16"/>
      <c r="K59" s="16"/>
      <c r="L59" s="16"/>
      <c r="M59" s="16"/>
      <c r="N59" s="16"/>
      <c r="O59" s="16" t="s">
        <v>17</v>
      </c>
      <c r="P59" s="16"/>
      <c r="Q59" s="16"/>
      <c r="R59" s="17"/>
    </row>
    <row r="60" spans="1:18" ht="18.75" x14ac:dyDescent="0.3">
      <c r="A60" s="24">
        <v>28</v>
      </c>
      <c r="B60" s="10" t="str">
        <f>"Goupil"</f>
        <v>Goupil</v>
      </c>
      <c r="C60" s="10" t="str">
        <f>"Francois"</f>
        <v>Francois</v>
      </c>
      <c r="D60" s="10" t="str">
        <f>"Shodan (1dan)"</f>
        <v>Shodan (1dan)</v>
      </c>
      <c r="E60" s="13" t="s">
        <v>22</v>
      </c>
      <c r="F60" s="11" t="str">
        <f>"C046 Club de judo Shidokan inc."</f>
        <v>C046 Club de judo Shidokan inc.</v>
      </c>
      <c r="G60" s="14"/>
      <c r="H60" s="14"/>
      <c r="I60" s="14"/>
      <c r="J60" s="14"/>
      <c r="K60" s="14"/>
      <c r="L60" s="14"/>
      <c r="M60" s="14"/>
      <c r="N60" s="14" t="s">
        <v>17</v>
      </c>
      <c r="O60" s="14"/>
      <c r="P60" s="14"/>
      <c r="Q60" s="14"/>
      <c r="R60" s="15"/>
    </row>
    <row r="61" spans="1:18" ht="19.5" thickBot="1" x14ac:dyDescent="0.35">
      <c r="A61" s="25"/>
      <c r="B61" s="8" t="str">
        <f>"Vanseveren"</f>
        <v>Vanseveren</v>
      </c>
      <c r="C61" s="8" t="str">
        <f>"Arnaud"</f>
        <v>Arnaud</v>
      </c>
      <c r="D61" s="8" t="str">
        <f>"1 Kyu (Ceinture marron)"</f>
        <v>1 Kyu (Ceinture marron)</v>
      </c>
      <c r="E61" s="8" t="s">
        <v>21</v>
      </c>
      <c r="F61" s="12" t="str">
        <f>"C046 Club de judo Shidokan inc."</f>
        <v>C046 Club de judo Shidokan inc.</v>
      </c>
      <c r="G61" s="16"/>
      <c r="H61" s="16"/>
      <c r="I61" s="16"/>
      <c r="J61" s="16"/>
      <c r="K61" s="16"/>
      <c r="L61" s="16"/>
      <c r="M61" s="16"/>
      <c r="N61" s="16" t="s">
        <v>17</v>
      </c>
      <c r="O61" s="16"/>
      <c r="P61" s="16"/>
      <c r="Q61" s="16"/>
      <c r="R61" s="17"/>
    </row>
    <row r="62" spans="1:18" ht="18.75" x14ac:dyDescent="0.3">
      <c r="A62" s="24">
        <v>29</v>
      </c>
      <c r="B62" s="10" t="str">
        <f>"Asselin"</f>
        <v>Asselin</v>
      </c>
      <c r="C62" s="10" t="str">
        <f>"Zoe"</f>
        <v>Zoe</v>
      </c>
      <c r="D62" s="10" t="str">
        <f>"4 Kyu (Ceinture orange)"</f>
        <v>4 Kyu (Ceinture orange)</v>
      </c>
      <c r="E62" s="10" t="s">
        <v>21</v>
      </c>
      <c r="F62" s="11" t="str">
        <f>"C341 Club de judo Torakai"</f>
        <v>C341 Club de judo Torakai</v>
      </c>
      <c r="G62" s="14" t="s">
        <v>17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</row>
    <row r="63" spans="1:18" ht="19.5" thickBot="1" x14ac:dyDescent="0.35">
      <c r="A63" s="25"/>
      <c r="B63" s="8" t="str">
        <f>"Laframboise"</f>
        <v>Laframboise</v>
      </c>
      <c r="C63" s="8" t="str">
        <f>"Laurieve"</f>
        <v>Laurieve</v>
      </c>
      <c r="D63" s="8" t="str">
        <f>"4 Kyu (Ceinture orange)"</f>
        <v>4 Kyu (Ceinture orange)</v>
      </c>
      <c r="E63" s="8" t="s">
        <v>21</v>
      </c>
      <c r="F63" s="12" t="str">
        <f>"C341 Club de judo Torakai"</f>
        <v>C341 Club de judo Torakai</v>
      </c>
      <c r="G63" s="16" t="s">
        <v>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</row>
    <row r="64" spans="1:18" ht="18.75" x14ac:dyDescent="0.3">
      <c r="A64" s="24">
        <v>30</v>
      </c>
      <c r="B64" s="10" t="str">
        <f>"Fauteux"</f>
        <v>Fauteux</v>
      </c>
      <c r="C64" s="10" t="str">
        <f>"Marcus"</f>
        <v>Marcus</v>
      </c>
      <c r="D64" s="10" t="str">
        <f>"1 Kyu (Ceinture marron)"</f>
        <v>1 Kyu (Ceinture marron)</v>
      </c>
      <c r="E64" s="13" t="s">
        <v>22</v>
      </c>
      <c r="F64" s="11" t="str">
        <f>"C250 Club de Judo Jikan"</f>
        <v>C250 Club de Judo Jikan</v>
      </c>
      <c r="G64" s="14"/>
      <c r="H64" s="14"/>
      <c r="I64" s="14"/>
      <c r="J64" s="14"/>
      <c r="K64" s="14"/>
      <c r="L64" s="14"/>
      <c r="M64" s="14" t="s">
        <v>17</v>
      </c>
      <c r="N64" s="14"/>
      <c r="O64" s="14"/>
      <c r="P64" s="14"/>
      <c r="Q64" s="14"/>
      <c r="R64" s="15"/>
    </row>
    <row r="65" spans="1:18" ht="19.5" thickBot="1" x14ac:dyDescent="0.35">
      <c r="A65" s="25"/>
      <c r="B65" s="8" t="str">
        <f>"Minguy"</f>
        <v>Minguy</v>
      </c>
      <c r="C65" s="8" t="str">
        <f>"Benoit"</f>
        <v>Benoit</v>
      </c>
      <c r="D65" s="8" t="str">
        <f>"Shodan (1dan)"</f>
        <v>Shodan (1dan)</v>
      </c>
      <c r="E65" s="8" t="s">
        <v>21</v>
      </c>
      <c r="F65" s="12" t="str">
        <f>"C250 Club de Judo Jikan"</f>
        <v>C250 Club de Judo Jikan</v>
      </c>
      <c r="G65" s="16"/>
      <c r="H65" s="16"/>
      <c r="I65" s="16"/>
      <c r="J65" s="16"/>
      <c r="K65" s="16"/>
      <c r="L65" s="16"/>
      <c r="M65" s="16" t="s">
        <v>17</v>
      </c>
      <c r="N65" s="16"/>
      <c r="O65" s="16"/>
      <c r="P65" s="16"/>
      <c r="Q65" s="16"/>
      <c r="R65" s="17"/>
    </row>
    <row r="66" spans="1:18" ht="18.75" x14ac:dyDescent="0.3">
      <c r="A66" s="24">
        <v>31</v>
      </c>
      <c r="B66" s="10" t="str">
        <f>"Hardy"</f>
        <v>Hardy</v>
      </c>
      <c r="C66" s="10" t="str">
        <f>"Diane"</f>
        <v>Diane</v>
      </c>
      <c r="D66" s="10" t="str">
        <f>"Godan (5dan)"</f>
        <v>Godan (5dan)</v>
      </c>
      <c r="E66" s="10" t="s">
        <v>21</v>
      </c>
      <c r="F66" s="11" t="str">
        <f>"C046 Club de judo Shidokan inc."</f>
        <v>C046 Club de judo Shidokan inc.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 t="s">
        <v>17</v>
      </c>
      <c r="R66" s="15"/>
    </row>
    <row r="67" spans="1:18" ht="19.5" thickBot="1" x14ac:dyDescent="0.35">
      <c r="A67" s="25"/>
      <c r="B67" s="8" t="str">
        <f>"Mucha-Janczuk"</f>
        <v>Mucha-Janczuk</v>
      </c>
      <c r="C67" s="8" t="str">
        <f>"Maya-Maria"</f>
        <v>Maya-Maria</v>
      </c>
      <c r="D67" s="8" t="str">
        <f>"Nidan (2dan)"</f>
        <v>Nidan (2dan)</v>
      </c>
      <c r="E67" s="8" t="s">
        <v>21</v>
      </c>
      <c r="F67" s="12" t="str">
        <f>"C046 Club de judo Shidokan inc."</f>
        <v>C046 Club de judo Shidokan inc.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 t="s">
        <v>17</v>
      </c>
      <c r="R67" s="17"/>
    </row>
    <row r="68" spans="1:18" ht="18.75" x14ac:dyDescent="0.3">
      <c r="A68" s="24">
        <v>32</v>
      </c>
      <c r="B68" s="10" t="str">
        <f>"Hardy"</f>
        <v>Hardy</v>
      </c>
      <c r="C68" s="10" t="str">
        <f>"Diane"</f>
        <v>Diane</v>
      </c>
      <c r="D68" s="10" t="str">
        <f>"Godan (5dan)"</f>
        <v>Godan (5dan)</v>
      </c>
      <c r="E68" s="10" t="s">
        <v>21</v>
      </c>
      <c r="F68" s="11" t="str">
        <f>"C046 Club de judo Shidokan inc."</f>
        <v>C046 Club de judo Shidokan inc.</v>
      </c>
      <c r="G68" s="14"/>
      <c r="H68" s="14"/>
      <c r="I68" s="14"/>
      <c r="J68" s="14"/>
      <c r="K68" s="14"/>
      <c r="L68" s="14"/>
      <c r="M68" s="14"/>
      <c r="N68" s="14"/>
      <c r="O68" s="14"/>
      <c r="P68" s="14" t="s">
        <v>17</v>
      </c>
      <c r="Q68" s="14"/>
      <c r="R68" s="15"/>
    </row>
    <row r="69" spans="1:18" ht="19.5" thickBot="1" x14ac:dyDescent="0.35">
      <c r="A69" s="25"/>
      <c r="B69" s="8" t="str">
        <f>"Mucha-Janczuk"</f>
        <v>Mucha-Janczuk</v>
      </c>
      <c r="C69" s="8" t="str">
        <f>"Maya-Maria"</f>
        <v>Maya-Maria</v>
      </c>
      <c r="D69" s="8" t="str">
        <f>"Nidan (2dan)"</f>
        <v>Nidan (2dan)</v>
      </c>
      <c r="E69" s="8" t="s">
        <v>21</v>
      </c>
      <c r="F69" s="12" t="str">
        <f>"C046 Club de judo Shidokan inc."</f>
        <v>C046 Club de judo Shidokan inc.</v>
      </c>
      <c r="G69" s="16"/>
      <c r="H69" s="16"/>
      <c r="I69" s="16"/>
      <c r="J69" s="16"/>
      <c r="K69" s="16"/>
      <c r="L69" s="16"/>
      <c r="M69" s="16"/>
      <c r="N69" s="16"/>
      <c r="O69" s="16"/>
      <c r="P69" s="16" t="s">
        <v>17</v>
      </c>
      <c r="Q69" s="16"/>
      <c r="R69" s="17"/>
    </row>
    <row r="70" spans="1:18" ht="18.75" x14ac:dyDescent="0.3">
      <c r="A70" s="19">
        <v>33</v>
      </c>
      <c r="B70" s="10" t="str">
        <f>"Berger"</f>
        <v>Berger</v>
      </c>
      <c r="C70" s="10" t="str">
        <f>"Isack"</f>
        <v>Isack</v>
      </c>
      <c r="D70" s="10" t="str">
        <f t="shared" ref="D70" si="0">"1 Kyu (Ceinture marron)"</f>
        <v>1 Kyu (Ceinture marron)</v>
      </c>
      <c r="E70" s="13" t="s">
        <v>22</v>
      </c>
      <c r="F70" s="11" t="str">
        <f t="shared" ref="F70:F83" si="1">"C079 Club de Judo Haut-Richelieu"</f>
        <v>C079 Club de Judo Haut-Richelieu</v>
      </c>
      <c r="G70" s="14"/>
      <c r="H70" s="14" t="s">
        <v>17</v>
      </c>
      <c r="I70" s="14"/>
      <c r="J70" s="14"/>
      <c r="K70" s="14"/>
      <c r="L70" s="14"/>
      <c r="M70" s="14"/>
      <c r="N70" s="14"/>
      <c r="O70" s="14"/>
      <c r="P70" s="14"/>
      <c r="Q70" s="14"/>
      <c r="R70" s="15"/>
    </row>
    <row r="71" spans="1:18" ht="19.5" thickBot="1" x14ac:dyDescent="0.35">
      <c r="A71" s="20"/>
      <c r="B71" s="8" t="str">
        <f>"Fontaine"</f>
        <v>Fontaine</v>
      </c>
      <c r="C71" s="8" t="str">
        <f>"Felix-Antoine"</f>
        <v>Felix-Antoine</v>
      </c>
      <c r="D71" s="8" t="str">
        <f>"2 Kyu (Ceinture bleue)"</f>
        <v>2 Kyu (Ceinture bleue)</v>
      </c>
      <c r="E71" s="8" t="s">
        <v>21</v>
      </c>
      <c r="F71" s="12" t="str">
        <f t="shared" si="1"/>
        <v>C079 Club de Judo Haut-Richelieu</v>
      </c>
      <c r="G71" s="16"/>
      <c r="H71" s="16" t="s">
        <v>17</v>
      </c>
      <c r="I71" s="16"/>
      <c r="J71" s="16"/>
      <c r="K71" s="16"/>
      <c r="L71" s="16"/>
      <c r="M71" s="16"/>
      <c r="N71" s="16"/>
      <c r="O71" s="16"/>
      <c r="P71" s="16"/>
      <c r="Q71" s="16"/>
      <c r="R71" s="17"/>
    </row>
    <row r="72" spans="1:18" ht="18.75" x14ac:dyDescent="0.3">
      <c r="A72" s="19">
        <v>34</v>
      </c>
      <c r="B72" s="10" t="str">
        <f>"Berger"</f>
        <v>Berger</v>
      </c>
      <c r="C72" s="10" t="str">
        <f>"Isack"</f>
        <v>Isack</v>
      </c>
      <c r="D72" s="10" t="str">
        <f t="shared" ref="D72" si="2">"1 Kyu (Ceinture marron)"</f>
        <v>1 Kyu (Ceinture marron)</v>
      </c>
      <c r="E72" s="10" t="s">
        <v>21</v>
      </c>
      <c r="F72" s="11" t="str">
        <f t="shared" ref="F72" si="3">"C079 Club de Judo Haut-Richelieu"</f>
        <v>C079 Club de Judo Haut-Richelieu</v>
      </c>
      <c r="G72" s="14"/>
      <c r="H72" s="14"/>
      <c r="I72" s="14" t="s">
        <v>17</v>
      </c>
      <c r="J72" s="14"/>
      <c r="K72" s="14"/>
      <c r="L72" s="14"/>
      <c r="M72" s="14"/>
      <c r="N72" s="14"/>
      <c r="O72" s="14"/>
      <c r="P72" s="14"/>
      <c r="Q72" s="14"/>
      <c r="R72" s="15"/>
    </row>
    <row r="73" spans="1:18" ht="19.5" thickBot="1" x14ac:dyDescent="0.35">
      <c r="A73" s="20"/>
      <c r="B73" s="8" t="str">
        <f>"Fontaine"</f>
        <v>Fontaine</v>
      </c>
      <c r="C73" s="8" t="str">
        <f>"Felix-Antoine"</f>
        <v>Felix-Antoine</v>
      </c>
      <c r="D73" s="8" t="str">
        <f>"2 Kyu (Ceinture bleue)"</f>
        <v>2 Kyu (Ceinture bleue)</v>
      </c>
      <c r="E73" s="8" t="s">
        <v>21</v>
      </c>
      <c r="F73" s="12" t="str">
        <f t="shared" si="1"/>
        <v>C079 Club de Judo Haut-Richelieu</v>
      </c>
      <c r="G73" s="16"/>
      <c r="H73" s="16"/>
      <c r="I73" s="16" t="s">
        <v>17</v>
      </c>
      <c r="J73" s="16"/>
      <c r="K73" s="16"/>
      <c r="L73" s="16"/>
      <c r="M73" s="16"/>
      <c r="N73" s="16"/>
      <c r="O73" s="16"/>
      <c r="P73" s="16"/>
      <c r="Q73" s="16"/>
      <c r="R73" s="17"/>
    </row>
    <row r="74" spans="1:18" ht="18.75" x14ac:dyDescent="0.3">
      <c r="A74" s="19">
        <v>35</v>
      </c>
      <c r="B74" s="10" t="str">
        <f>"Langlois"</f>
        <v>Langlois</v>
      </c>
      <c r="C74" s="10" t="str">
        <f>"Dominic"</f>
        <v>Dominic</v>
      </c>
      <c r="D74" s="10" t="str">
        <f>"1 Kyu (Ceinture marron)"</f>
        <v>1 Kyu (Ceinture marron)</v>
      </c>
      <c r="E74" s="13" t="s">
        <v>22</v>
      </c>
      <c r="F74" s="11" t="str">
        <f t="shared" si="1"/>
        <v>C079 Club de Judo Haut-Richelieu</v>
      </c>
      <c r="G74" s="14"/>
      <c r="H74" s="14"/>
      <c r="I74" s="14"/>
      <c r="J74" s="14"/>
      <c r="K74" s="14"/>
      <c r="L74" s="14"/>
      <c r="M74" s="14" t="s">
        <v>17</v>
      </c>
      <c r="N74" s="14"/>
      <c r="O74" s="14"/>
      <c r="P74" s="14"/>
      <c r="Q74" s="14"/>
      <c r="R74" s="15"/>
    </row>
    <row r="75" spans="1:18" ht="19.5" thickBot="1" x14ac:dyDescent="0.35">
      <c r="A75" s="20"/>
      <c r="B75" s="8" t="str">
        <f>"Durand"</f>
        <v>Durand</v>
      </c>
      <c r="C75" s="8" t="str">
        <f>"Caroline"</f>
        <v>Caroline</v>
      </c>
      <c r="D75" s="8" t="str">
        <f>"Shodan (1dan)"</f>
        <v>Shodan (1dan)</v>
      </c>
      <c r="E75" s="8" t="s">
        <v>21</v>
      </c>
      <c r="F75" s="12" t="str">
        <f t="shared" si="1"/>
        <v>C079 Club de Judo Haut-Richelieu</v>
      </c>
      <c r="G75" s="16"/>
      <c r="H75" s="16"/>
      <c r="I75" s="16"/>
      <c r="J75" s="16"/>
      <c r="K75" s="16"/>
      <c r="L75" s="16"/>
      <c r="M75" s="16" t="s">
        <v>17</v>
      </c>
      <c r="N75" s="16"/>
      <c r="O75" s="16"/>
      <c r="P75" s="16"/>
      <c r="Q75" s="16"/>
      <c r="R75" s="17"/>
    </row>
    <row r="76" spans="1:18" ht="18.75" x14ac:dyDescent="0.3">
      <c r="A76" s="19">
        <v>36</v>
      </c>
      <c r="B76" s="10" t="str">
        <f>"Faucher"</f>
        <v>Faucher</v>
      </c>
      <c r="C76" s="10" t="str">
        <f>"Elza"</f>
        <v>Elza</v>
      </c>
      <c r="D76" s="10" t="str">
        <f>"3 Kyu + (Ceinture verte-bleue)"</f>
        <v>3 Kyu + (Ceinture verte-bleue)</v>
      </c>
      <c r="E76" s="10" t="s">
        <v>21</v>
      </c>
      <c r="F76" s="11" t="str">
        <f t="shared" si="1"/>
        <v>C079 Club de Judo Haut-Richelieu</v>
      </c>
      <c r="G76" s="14"/>
      <c r="H76" s="14" t="s">
        <v>17</v>
      </c>
      <c r="I76" s="14"/>
      <c r="J76" s="14"/>
      <c r="K76" s="14"/>
      <c r="L76" s="14"/>
      <c r="M76" s="14"/>
      <c r="N76" s="14"/>
      <c r="O76" s="14"/>
      <c r="P76" s="14"/>
      <c r="Q76" s="14"/>
      <c r="R76" s="15"/>
    </row>
    <row r="77" spans="1:18" ht="19.5" thickBot="1" x14ac:dyDescent="0.35">
      <c r="A77" s="20"/>
      <c r="B77" s="8" t="str">
        <f>"Piton"</f>
        <v>Piton</v>
      </c>
      <c r="C77" s="8" t="str">
        <f>"Emile"</f>
        <v>Emile</v>
      </c>
      <c r="D77" s="8" t="str">
        <f>"2 Kyu (Ceinture bleue)"</f>
        <v>2 Kyu (Ceinture bleue)</v>
      </c>
      <c r="E77" s="8" t="s">
        <v>21</v>
      </c>
      <c r="F77" s="12" t="str">
        <f t="shared" si="1"/>
        <v>C079 Club de Judo Haut-Richelieu</v>
      </c>
      <c r="G77" s="16"/>
      <c r="H77" s="16" t="s">
        <v>17</v>
      </c>
      <c r="I77" s="16"/>
      <c r="J77" s="16"/>
      <c r="K77" s="16"/>
      <c r="L77" s="16"/>
      <c r="M77" s="16"/>
      <c r="N77" s="16"/>
      <c r="O77" s="16"/>
      <c r="P77" s="16"/>
      <c r="Q77" s="16"/>
      <c r="R77" s="17"/>
    </row>
    <row r="78" spans="1:18" ht="18.75" x14ac:dyDescent="0.3">
      <c r="A78" s="19">
        <v>37</v>
      </c>
      <c r="B78" s="10" t="str">
        <f>"Faucher"</f>
        <v>Faucher</v>
      </c>
      <c r="C78" s="10" t="str">
        <f>"Elza"</f>
        <v>Elza</v>
      </c>
      <c r="D78" s="10" t="str">
        <f>"3 Kyu + (Ceinture verte-bleue)"</f>
        <v>3 Kyu + (Ceinture verte-bleue)</v>
      </c>
      <c r="E78" s="10" t="s">
        <v>21</v>
      </c>
      <c r="F78" s="11" t="str">
        <f t="shared" si="1"/>
        <v>C079 Club de Judo Haut-Richelieu</v>
      </c>
      <c r="G78" s="14"/>
      <c r="H78" s="14"/>
      <c r="I78" s="14"/>
      <c r="J78" s="14"/>
      <c r="K78" s="14"/>
      <c r="L78" s="14" t="s">
        <v>17</v>
      </c>
      <c r="M78" s="14"/>
      <c r="N78" s="14"/>
      <c r="O78" s="14"/>
      <c r="P78" s="14"/>
      <c r="Q78" s="14"/>
      <c r="R78" s="15"/>
    </row>
    <row r="79" spans="1:18" ht="19.5" thickBot="1" x14ac:dyDescent="0.35">
      <c r="A79" s="20"/>
      <c r="B79" s="8" t="str">
        <f>"Piton"</f>
        <v>Piton</v>
      </c>
      <c r="C79" s="8" t="str">
        <f>"Emile"</f>
        <v>Emile</v>
      </c>
      <c r="D79" s="8" t="str">
        <f>"2 Kyu (Ceinture bleue)"</f>
        <v>2 Kyu (Ceinture bleue)</v>
      </c>
      <c r="E79" s="8" t="s">
        <v>21</v>
      </c>
      <c r="F79" s="12" t="str">
        <f t="shared" si="1"/>
        <v>C079 Club de Judo Haut-Richelieu</v>
      </c>
      <c r="G79" s="16"/>
      <c r="H79" s="16"/>
      <c r="I79" s="16"/>
      <c r="J79" s="16"/>
      <c r="K79" s="16"/>
      <c r="L79" s="16" t="s">
        <v>17</v>
      </c>
      <c r="M79" s="16"/>
      <c r="N79" s="16"/>
      <c r="O79" s="16"/>
      <c r="P79" s="16"/>
      <c r="Q79" s="16"/>
      <c r="R79" s="17"/>
    </row>
    <row r="80" spans="1:18" ht="18.75" x14ac:dyDescent="0.3">
      <c r="A80" s="19">
        <v>38</v>
      </c>
      <c r="B80" s="10" t="str">
        <f>"Dumoulin"</f>
        <v>Dumoulin</v>
      </c>
      <c r="C80" s="10" t="str">
        <f>"Catherine"</f>
        <v>Catherine</v>
      </c>
      <c r="D80" s="10" t="str">
        <f>"Shodan (1dan)"</f>
        <v>Shodan (1dan)</v>
      </c>
      <c r="E80" s="10" t="s">
        <v>21</v>
      </c>
      <c r="F80" s="11" t="str">
        <f t="shared" si="1"/>
        <v>C079 Club de Judo Haut-Richelieu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 t="s">
        <v>17</v>
      </c>
      <c r="R80" s="15"/>
    </row>
    <row r="81" spans="1:18" ht="19.5" thickBot="1" x14ac:dyDescent="0.35">
      <c r="A81" s="20"/>
      <c r="B81" s="8" t="str">
        <f>"Perreault"</f>
        <v>Perreault</v>
      </c>
      <c r="C81" s="8" t="str">
        <f>"Cassandra"</f>
        <v>Cassandra</v>
      </c>
      <c r="D81" s="8" t="str">
        <f>"1 Kyu (Ceinture marron)"</f>
        <v>1 Kyu (Ceinture marron)</v>
      </c>
      <c r="E81" s="8" t="s">
        <v>21</v>
      </c>
      <c r="F81" s="12" t="str">
        <f t="shared" si="1"/>
        <v>C079 Club de Judo Haut-Richelieu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 t="s">
        <v>17</v>
      </c>
      <c r="R81" s="17"/>
    </row>
    <row r="82" spans="1:18" ht="18.75" x14ac:dyDescent="0.3">
      <c r="A82" s="19">
        <v>39</v>
      </c>
      <c r="B82" s="10" t="str">
        <f>"Francescon"</f>
        <v>Francescon</v>
      </c>
      <c r="C82" s="10" t="str">
        <f>"Eric"</f>
        <v>Eric</v>
      </c>
      <c r="D82" s="10" t="str">
        <f>"Shodan (1dan)"</f>
        <v>Shodan (1dan)</v>
      </c>
      <c r="E82" s="13" t="s">
        <v>22</v>
      </c>
      <c r="F82" s="11" t="str">
        <f t="shared" si="1"/>
        <v>C079 Club de Judo Haut-Richelieu</v>
      </c>
      <c r="G82" s="14"/>
      <c r="H82" s="14"/>
      <c r="I82" s="14"/>
      <c r="J82" s="14"/>
      <c r="K82" s="14"/>
      <c r="L82" s="14"/>
      <c r="M82" s="14"/>
      <c r="N82" s="14" t="s">
        <v>17</v>
      </c>
      <c r="O82" s="14"/>
      <c r="P82" s="14"/>
      <c r="Q82" s="14"/>
      <c r="R82" s="15"/>
    </row>
    <row r="83" spans="1:18" ht="19.5" thickBot="1" x14ac:dyDescent="0.35">
      <c r="A83" s="20"/>
      <c r="B83" s="8" t="str">
        <f>"Dumoulin"</f>
        <v>Dumoulin</v>
      </c>
      <c r="C83" s="8" t="str">
        <f>"Catherine"</f>
        <v>Catherine</v>
      </c>
      <c r="D83" s="8" t="str">
        <f>"Shodan (1dan)"</f>
        <v>Shodan (1dan)</v>
      </c>
      <c r="E83" s="8" t="s">
        <v>21</v>
      </c>
      <c r="F83" s="12" t="str">
        <f t="shared" si="1"/>
        <v>C079 Club de Judo Haut-Richelieu</v>
      </c>
      <c r="G83" s="16"/>
      <c r="H83" s="16"/>
      <c r="I83" s="16"/>
      <c r="J83" s="16"/>
      <c r="K83" s="16"/>
      <c r="L83" s="16"/>
      <c r="M83" s="16"/>
      <c r="N83" s="16" t="s">
        <v>17</v>
      </c>
      <c r="O83" s="16"/>
      <c r="P83" s="16"/>
      <c r="Q83" s="16"/>
      <c r="R83" s="17"/>
    </row>
    <row r="84" spans="1:18" ht="18.75" x14ac:dyDescent="0.3">
      <c r="A84" s="19">
        <v>40</v>
      </c>
      <c r="B84" s="10" t="str">
        <f>"Rooney"</f>
        <v>Rooney</v>
      </c>
      <c r="C84" s="10" t="str">
        <f>"Shane"</f>
        <v>Shane</v>
      </c>
      <c r="D84" s="10" t="str">
        <f>"Yondan (4dan)"</f>
        <v>Yondan (4dan)</v>
      </c>
      <c r="E84" s="10" t="s">
        <v>21</v>
      </c>
      <c r="F84" s="11" t="str">
        <f t="shared" ref="F84" si="4">"Takahashi Dojo"</f>
        <v>Takahashi Dojo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 t="s">
        <v>17</v>
      </c>
    </row>
    <row r="85" spans="1:18" ht="19.5" thickBot="1" x14ac:dyDescent="0.35">
      <c r="A85" s="20"/>
      <c r="B85" s="8" t="str">
        <f>"Hu"</f>
        <v>Hu</v>
      </c>
      <c r="C85" s="8" t="str">
        <f>"Bailey"</f>
        <v>Bailey</v>
      </c>
      <c r="D85" s="8" t="str">
        <f>"Nidan (2dan)"</f>
        <v>Nidan (2dan)</v>
      </c>
      <c r="E85" s="8" t="s">
        <v>21</v>
      </c>
      <c r="F85" s="12" t="str">
        <f t="shared" ref="F85" si="5">"Takahashi Dojo"</f>
        <v>Takahashi Dojo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 t="s">
        <v>17</v>
      </c>
    </row>
    <row r="86" spans="1:18" ht="18.75" x14ac:dyDescent="0.3">
      <c r="A86" s="19">
        <v>41</v>
      </c>
      <c r="B86" s="10" t="str">
        <f>"Roffi"</f>
        <v>Roffi</v>
      </c>
      <c r="C86" s="10" t="str">
        <f>"Marianne"</f>
        <v>Marianne</v>
      </c>
      <c r="D86" s="10" t="str">
        <f>"Sandan (3dan)"</f>
        <v>Sandan (3dan)</v>
      </c>
      <c r="E86" s="10" t="s">
        <v>21</v>
      </c>
      <c r="F86" s="11" t="str">
        <f>"C012 Kyo Shi Do Kan"</f>
        <v>C012 Kyo Shi Do Kan</v>
      </c>
      <c r="G86" s="14"/>
      <c r="H86" s="14"/>
      <c r="I86" s="14"/>
      <c r="J86" s="14"/>
      <c r="K86" s="14"/>
      <c r="L86" s="14"/>
      <c r="M86" s="14"/>
      <c r="N86" s="14"/>
      <c r="O86" s="14"/>
      <c r="P86" s="14" t="s">
        <v>17</v>
      </c>
      <c r="Q86" s="14"/>
      <c r="R86" s="15"/>
    </row>
    <row r="87" spans="1:18" ht="19.5" thickBot="1" x14ac:dyDescent="0.35">
      <c r="A87" s="20"/>
      <c r="B87" s="8" t="str">
        <f>"Ouimet"</f>
        <v>Ouimet</v>
      </c>
      <c r="C87" s="8" t="str">
        <f>"David"</f>
        <v>David</v>
      </c>
      <c r="D87" s="8" t="str">
        <f>"Shodan (1dan)"</f>
        <v>Shodan (1dan)</v>
      </c>
      <c r="E87" s="8" t="s">
        <v>21</v>
      </c>
      <c r="F87" s="12" t="str">
        <f>"C012 Kyo Shi Do Kan"</f>
        <v>C012 Kyo Shi Do Kan</v>
      </c>
      <c r="G87" s="16"/>
      <c r="H87" s="16"/>
      <c r="I87" s="16"/>
      <c r="J87" s="16"/>
      <c r="K87" s="16"/>
      <c r="L87" s="16"/>
      <c r="M87" s="16"/>
      <c r="N87" s="16"/>
      <c r="O87" s="16"/>
      <c r="P87" s="16" t="s">
        <v>17</v>
      </c>
      <c r="Q87" s="16"/>
      <c r="R87" s="17"/>
    </row>
    <row r="88" spans="1:18" ht="18.75" x14ac:dyDescent="0.3">
      <c r="A88" s="19">
        <v>42</v>
      </c>
      <c r="B88" s="10" t="str">
        <f>"Rheaume"</f>
        <v>Rheaume</v>
      </c>
      <c r="C88" s="10" t="str">
        <f>"Carolyne"</f>
        <v>Carolyne</v>
      </c>
      <c r="D88" s="10" t="str">
        <f>"Shodan (1dan)"</f>
        <v>Shodan (1dan)</v>
      </c>
      <c r="E88" s="13" t="s">
        <v>22</v>
      </c>
      <c r="F88" s="11" t="str">
        <f>"C049 Dojo De Beauport"</f>
        <v>C049 Dojo De Beauport</v>
      </c>
      <c r="G88" s="14"/>
      <c r="H88" s="14"/>
      <c r="I88" s="14"/>
      <c r="J88" s="14"/>
      <c r="K88" s="14"/>
      <c r="L88" s="14"/>
      <c r="M88" s="14"/>
      <c r="N88" s="14" t="s">
        <v>17</v>
      </c>
      <c r="O88" s="14"/>
      <c r="P88" s="14"/>
      <c r="Q88" s="14"/>
      <c r="R88" s="15"/>
    </row>
    <row r="89" spans="1:18" ht="19.5" thickBot="1" x14ac:dyDescent="0.35">
      <c r="A89" s="20"/>
      <c r="B89" s="8" t="str">
        <f>"Quenneville"</f>
        <v>Quenneville</v>
      </c>
      <c r="C89" s="8" t="str">
        <f>"Jonathan"</f>
        <v>Jonathan</v>
      </c>
      <c r="D89" s="8" t="str">
        <f>"Shodan (1dan)"</f>
        <v>Shodan (1dan)</v>
      </c>
      <c r="E89" s="8" t="s">
        <v>21</v>
      </c>
      <c r="F89" s="12" t="str">
        <f>"C049 Dojo De Beauport"</f>
        <v>C049 Dojo De Beauport</v>
      </c>
      <c r="G89" s="16"/>
      <c r="H89" s="16"/>
      <c r="I89" s="16"/>
      <c r="J89" s="16"/>
      <c r="K89" s="16"/>
      <c r="L89" s="16"/>
      <c r="M89" s="16"/>
      <c r="N89" s="16" t="s">
        <v>17</v>
      </c>
      <c r="O89" s="16"/>
      <c r="P89" s="16"/>
      <c r="Q89" s="16"/>
      <c r="R89" s="17"/>
    </row>
    <row r="90" spans="1:18" ht="18.75" x14ac:dyDescent="0.3">
      <c r="A90" s="19">
        <v>43</v>
      </c>
      <c r="B90" s="10" t="str">
        <f>"Poulin"</f>
        <v>Poulin</v>
      </c>
      <c r="C90" s="10" t="str">
        <f>"Francois"</f>
        <v>Francois</v>
      </c>
      <c r="D90" s="10" t="str">
        <f>"1 Kyu (Ceinture marron)"</f>
        <v>1 Kyu (Ceinture marron)</v>
      </c>
      <c r="E90" s="13" t="s">
        <v>22</v>
      </c>
      <c r="F90" s="11" t="str">
        <f>"C032 Club de judo Saint-Hubert"</f>
        <v>C032 Club de judo Saint-Hubert</v>
      </c>
      <c r="G90" s="14"/>
      <c r="H90" s="14"/>
      <c r="I90" s="14"/>
      <c r="J90" s="14"/>
      <c r="K90" s="14"/>
      <c r="L90" s="14"/>
      <c r="M90" s="14" t="s">
        <v>17</v>
      </c>
      <c r="N90" s="14"/>
      <c r="O90" s="14"/>
      <c r="P90" s="14"/>
      <c r="Q90" s="14"/>
      <c r="R90" s="15"/>
    </row>
    <row r="91" spans="1:18" ht="19.5" thickBot="1" x14ac:dyDescent="0.35">
      <c r="A91" s="20"/>
      <c r="B91" s="8" t="str">
        <f>"Neron"</f>
        <v>Neron</v>
      </c>
      <c r="C91" s="8" t="str">
        <f>"Sebastien"</f>
        <v>Sebastien</v>
      </c>
      <c r="D91" s="8" t="str">
        <f>"Shodan (1dan)"</f>
        <v>Shodan (1dan)</v>
      </c>
      <c r="E91" s="8" t="s">
        <v>21</v>
      </c>
      <c r="F91" s="12" t="str">
        <f>"C032 Club de judo Saint-Hubert"</f>
        <v>C032 Club de judo Saint-Hubert</v>
      </c>
      <c r="G91" s="16"/>
      <c r="H91" s="16"/>
      <c r="I91" s="16"/>
      <c r="J91" s="16"/>
      <c r="K91" s="16"/>
      <c r="L91" s="16"/>
      <c r="M91" s="16" t="s">
        <v>17</v>
      </c>
      <c r="N91" s="16"/>
      <c r="O91" s="16"/>
      <c r="P91" s="16"/>
      <c r="Q91" s="16"/>
      <c r="R91" s="17"/>
    </row>
    <row r="92" spans="1:18" ht="18.75" x14ac:dyDescent="0.3">
      <c r="A92" s="19">
        <v>44</v>
      </c>
      <c r="B92" s="10" t="str">
        <f>"Zupancic"</f>
        <v>Zupancic</v>
      </c>
      <c r="C92" s="10" t="str">
        <f>"Edward"</f>
        <v>Edward</v>
      </c>
      <c r="D92" s="10" t="str">
        <f>"Rokudan (6dan)"</f>
        <v>Rokudan (6dan)</v>
      </c>
      <c r="E92" s="10" t="s">
        <v>21</v>
      </c>
      <c r="F92" s="11" t="str">
        <f>"Formokan Judo Club"</f>
        <v>Formokan Judo Club</v>
      </c>
      <c r="G92" s="14"/>
      <c r="H92" s="14"/>
      <c r="I92" s="14"/>
      <c r="J92" s="14"/>
      <c r="K92" s="14"/>
      <c r="L92" s="14"/>
      <c r="M92" s="14"/>
      <c r="N92" s="14"/>
      <c r="O92" s="14"/>
      <c r="P92" s="14" t="s">
        <v>17</v>
      </c>
      <c r="Q92" s="14"/>
      <c r="R92" s="15"/>
    </row>
    <row r="93" spans="1:18" ht="19.5" thickBot="1" x14ac:dyDescent="0.35">
      <c r="A93" s="20"/>
      <c r="B93" s="8" t="str">
        <f>"Hutchison"</f>
        <v>Hutchison</v>
      </c>
      <c r="C93" s="8" t="str">
        <f>"Matthew"</f>
        <v>Matthew</v>
      </c>
      <c r="D93" s="8" t="str">
        <f>"Nidan (2dan)"</f>
        <v>Nidan (2dan)</v>
      </c>
      <c r="E93" s="8" t="s">
        <v>21</v>
      </c>
      <c r="F93" s="12" t="str">
        <f>"Midtown Judo - Kiyomizukan"</f>
        <v>Midtown Judo - Kiyomizukan</v>
      </c>
      <c r="G93" s="16"/>
      <c r="H93" s="16"/>
      <c r="I93" s="16"/>
      <c r="J93" s="16"/>
      <c r="K93" s="16"/>
      <c r="L93" s="16"/>
      <c r="M93" s="16"/>
      <c r="N93" s="16"/>
      <c r="O93" s="16"/>
      <c r="P93" s="16" t="s">
        <v>17</v>
      </c>
      <c r="Q93" s="16"/>
      <c r="R93" s="17"/>
    </row>
    <row r="94" spans="1:18" ht="18.75" x14ac:dyDescent="0.3">
      <c r="A94" s="19">
        <v>45</v>
      </c>
      <c r="B94" s="10" t="str">
        <f>"Groleau"</f>
        <v>Groleau</v>
      </c>
      <c r="C94" s="10" t="str">
        <f>"Matis"</f>
        <v>Matis</v>
      </c>
      <c r="D94" s="10" t="str">
        <f>"1 Kyu (Ceinture marron)"</f>
        <v>1 Kyu (Ceinture marron)</v>
      </c>
      <c r="E94" s="13" t="s">
        <v>22</v>
      </c>
      <c r="F94" s="11" t="str">
        <f>"C136 Club de judo Vallée du Richelieu"</f>
        <v>C136 Club de judo Vallée du Richelieu</v>
      </c>
      <c r="G94" s="14"/>
      <c r="H94" s="14"/>
      <c r="I94" s="14"/>
      <c r="J94" s="14"/>
      <c r="K94" s="14"/>
      <c r="L94" s="14"/>
      <c r="M94" s="14" t="s">
        <v>17</v>
      </c>
      <c r="N94" s="14"/>
      <c r="O94" s="14"/>
      <c r="P94" s="14"/>
      <c r="Q94" s="14"/>
      <c r="R94" s="15"/>
    </row>
    <row r="95" spans="1:18" ht="19.5" thickBot="1" x14ac:dyDescent="0.35">
      <c r="A95" s="20"/>
      <c r="B95" s="8" t="str">
        <f>"Gallant"</f>
        <v>Gallant</v>
      </c>
      <c r="C95" s="8" t="str">
        <f>"Nicolas"</f>
        <v>Nicolas</v>
      </c>
      <c r="D95" s="8" t="str">
        <f>"Shodan (1dan)"</f>
        <v>Shodan (1dan)</v>
      </c>
      <c r="E95" s="8" t="s">
        <v>21</v>
      </c>
      <c r="F95" s="12" t="str">
        <f>"C136 Club de judo Vallée du Richelieu"</f>
        <v>C136 Club de judo Vallée du Richelieu</v>
      </c>
      <c r="G95" s="16"/>
      <c r="H95" s="16"/>
      <c r="I95" s="16"/>
      <c r="J95" s="16"/>
      <c r="K95" s="16"/>
      <c r="L95" s="16"/>
      <c r="M95" s="16" t="s">
        <v>17</v>
      </c>
      <c r="N95" s="16"/>
      <c r="O95" s="16"/>
      <c r="P95" s="16"/>
      <c r="Q95" s="16"/>
      <c r="R95" s="17"/>
    </row>
    <row r="96" spans="1:18" ht="18.75" x14ac:dyDescent="0.3">
      <c r="A96" s="19">
        <v>46</v>
      </c>
      <c r="B96" s="10" t="str">
        <f>"Nossa"</f>
        <v>Nossa</v>
      </c>
      <c r="C96" s="10" t="str">
        <f>"Carlos"</f>
        <v>Carlos</v>
      </c>
      <c r="D96" s="10" t="str">
        <f>"Nidan (2dan)"</f>
        <v>Nidan (2dan)</v>
      </c>
      <c r="E96" s="13" t="s">
        <v>22</v>
      </c>
      <c r="F96" s="11" t="str">
        <f>"C311 Judo Mont-Bruno"</f>
        <v>C311 Judo Mont-Bruno</v>
      </c>
      <c r="G96" s="14"/>
      <c r="H96" s="14"/>
      <c r="I96" s="14"/>
      <c r="J96" s="14"/>
      <c r="K96" s="14"/>
      <c r="L96" s="14"/>
      <c r="M96" s="14"/>
      <c r="N96" s="14"/>
      <c r="O96" s="14" t="s">
        <v>17</v>
      </c>
      <c r="P96" s="14"/>
      <c r="Q96" s="14"/>
      <c r="R96" s="15"/>
    </row>
    <row r="97" spans="1:18" ht="19.5" thickBot="1" x14ac:dyDescent="0.35">
      <c r="A97" s="20"/>
      <c r="B97" s="8" t="str">
        <f>"Lessard"</f>
        <v>Lessard</v>
      </c>
      <c r="C97" s="8" t="str">
        <f>"David"</f>
        <v>David</v>
      </c>
      <c r="D97" s="8" t="str">
        <f>"Nidan (2dan)"</f>
        <v>Nidan (2dan)</v>
      </c>
      <c r="E97" s="8" t="s">
        <v>21</v>
      </c>
      <c r="F97" s="12" t="str">
        <f>"C037 Club de Judo Longueuil inc."</f>
        <v>C037 Club de Judo Longueuil inc.</v>
      </c>
      <c r="G97" s="16"/>
      <c r="H97" s="16"/>
      <c r="I97" s="16"/>
      <c r="J97" s="16"/>
      <c r="K97" s="16"/>
      <c r="L97" s="16"/>
      <c r="M97" s="16"/>
      <c r="N97" s="16"/>
      <c r="O97" s="16" t="s">
        <v>17</v>
      </c>
      <c r="P97" s="16"/>
      <c r="Q97" s="16"/>
      <c r="R97" s="17"/>
    </row>
    <row r="98" spans="1:18" ht="18.75" x14ac:dyDescent="0.3">
      <c r="A98" s="19">
        <v>47</v>
      </c>
      <c r="B98" s="10" t="str">
        <f>"Nossa"</f>
        <v>Nossa</v>
      </c>
      <c r="C98" s="10" t="str">
        <f>"Carlos"</f>
        <v>Carlos</v>
      </c>
      <c r="D98" s="10" t="str">
        <f>"Nidan (2dan)"</f>
        <v>Nidan (2dan)</v>
      </c>
      <c r="E98" s="10" t="s">
        <v>21</v>
      </c>
      <c r="F98" s="11" t="str">
        <f>"C311 Judo Mont-Bruno"</f>
        <v>C311 Judo Mont-Bruno</v>
      </c>
      <c r="G98" s="14"/>
      <c r="H98" s="14"/>
      <c r="I98" s="14"/>
      <c r="J98" s="14"/>
      <c r="K98" s="14"/>
      <c r="L98" s="14"/>
      <c r="M98" s="14"/>
      <c r="N98" s="14" t="s">
        <v>17</v>
      </c>
      <c r="O98" s="14"/>
      <c r="P98" s="14"/>
      <c r="Q98" s="14"/>
      <c r="R98" s="15"/>
    </row>
    <row r="99" spans="1:18" ht="19.5" thickBot="1" x14ac:dyDescent="0.35">
      <c r="A99" s="20"/>
      <c r="B99" s="8" t="str">
        <f>"Lessard"</f>
        <v>Lessard</v>
      </c>
      <c r="C99" s="8" t="str">
        <f>"David"</f>
        <v>David</v>
      </c>
      <c r="D99" s="8" t="str">
        <f>"Nidan (2dan)"</f>
        <v>Nidan (2dan)</v>
      </c>
      <c r="E99" s="8" t="s">
        <v>21</v>
      </c>
      <c r="F99" s="12" t="str">
        <f>"C037 Club de Judo Longueuil inc."</f>
        <v>C037 Club de Judo Longueuil inc.</v>
      </c>
      <c r="G99" s="16"/>
      <c r="H99" s="16"/>
      <c r="I99" s="16"/>
      <c r="J99" s="16"/>
      <c r="K99" s="16"/>
      <c r="L99" s="16"/>
      <c r="M99" s="16"/>
      <c r="N99" s="16" t="s">
        <v>17</v>
      </c>
      <c r="O99" s="16"/>
      <c r="P99" s="16"/>
      <c r="Q99" s="16"/>
      <c r="R99" s="17"/>
    </row>
    <row r="100" spans="1:18" ht="18.75" x14ac:dyDescent="0.3">
      <c r="A100" s="19">
        <v>48</v>
      </c>
      <c r="B100" s="10" t="str">
        <f>"Nakamura"</f>
        <v>Nakamura</v>
      </c>
      <c r="C100" s="10" t="str">
        <f>"Gabe"</f>
        <v>Gabe</v>
      </c>
      <c r="D100" s="10" t="str">
        <f t="shared" ref="D100:D108" si="6">"1 Kyu (Ceinture marron)"</f>
        <v>1 Kyu (Ceinture marron)</v>
      </c>
      <c r="E100" s="10" t="s">
        <v>21</v>
      </c>
      <c r="F100" s="11" t="str">
        <f t="shared" ref="F100:F102" si="7">"Takahashi Dojo"</f>
        <v>Takahashi Dojo</v>
      </c>
      <c r="G100" s="14"/>
      <c r="H100" s="14"/>
      <c r="I100" s="14"/>
      <c r="J100" s="14"/>
      <c r="K100" s="14" t="s">
        <v>17</v>
      </c>
      <c r="L100" s="14"/>
      <c r="M100" s="14"/>
      <c r="N100" s="14"/>
      <c r="O100" s="14"/>
      <c r="P100" s="14"/>
      <c r="Q100" s="14"/>
      <c r="R100" s="15"/>
    </row>
    <row r="101" spans="1:18" ht="19.5" thickBot="1" x14ac:dyDescent="0.35">
      <c r="A101" s="20"/>
      <c r="B101" s="8" t="str">
        <f>"Rooney"</f>
        <v>Rooney</v>
      </c>
      <c r="C101" s="8" t="str">
        <f>"Elliana"</f>
        <v>Elliana</v>
      </c>
      <c r="D101" s="8" t="str">
        <f t="shared" si="6"/>
        <v>1 Kyu (Ceinture marron)</v>
      </c>
      <c r="E101" s="8" t="s">
        <v>21</v>
      </c>
      <c r="F101" s="12" t="str">
        <f t="shared" si="7"/>
        <v>Takahashi Dojo</v>
      </c>
      <c r="G101" s="16"/>
      <c r="H101" s="16"/>
      <c r="I101" s="16"/>
      <c r="J101" s="16"/>
      <c r="K101" s="16" t="s">
        <v>17</v>
      </c>
      <c r="L101" s="16"/>
      <c r="M101" s="16"/>
      <c r="N101" s="16"/>
      <c r="O101" s="16"/>
      <c r="P101" s="16"/>
      <c r="Q101" s="16"/>
      <c r="R101" s="17"/>
    </row>
    <row r="102" spans="1:18" ht="18.75" x14ac:dyDescent="0.3">
      <c r="A102" s="19">
        <v>49</v>
      </c>
      <c r="B102" s="10" t="str">
        <f>"Rooney"</f>
        <v>Rooney</v>
      </c>
      <c r="C102" s="10" t="str">
        <f>"Elliana"</f>
        <v>Elliana</v>
      </c>
      <c r="D102" s="10" t="str">
        <f t="shared" si="6"/>
        <v>1 Kyu (Ceinture marron)</v>
      </c>
      <c r="E102" s="10" t="s">
        <v>21</v>
      </c>
      <c r="F102" s="11" t="str">
        <f t="shared" si="7"/>
        <v>Takahashi Dojo</v>
      </c>
      <c r="G102" s="14"/>
      <c r="H102" s="14"/>
      <c r="I102" s="14"/>
      <c r="J102" s="14" t="s">
        <v>17</v>
      </c>
      <c r="K102" s="14"/>
      <c r="L102" s="14"/>
      <c r="M102" s="14"/>
      <c r="N102" s="14"/>
      <c r="O102" s="14"/>
      <c r="P102" s="14"/>
      <c r="Q102" s="14"/>
      <c r="R102" s="15"/>
    </row>
    <row r="103" spans="1:18" ht="19.5" thickBot="1" x14ac:dyDescent="0.35">
      <c r="A103" s="20"/>
      <c r="B103" s="8" t="str">
        <f>"Nakamura"</f>
        <v>Nakamura</v>
      </c>
      <c r="C103" s="8" t="str">
        <f>"Gabe"</f>
        <v>Gabe</v>
      </c>
      <c r="D103" s="8" t="str">
        <f t="shared" si="6"/>
        <v>1 Kyu (Ceinture marron)</v>
      </c>
      <c r="E103" s="8" t="s">
        <v>21</v>
      </c>
      <c r="F103" s="12" t="str">
        <f t="shared" ref="F103" si="8">"Takahashi Dojo"</f>
        <v>Takahashi Dojo</v>
      </c>
      <c r="G103" s="16"/>
      <c r="H103" s="16"/>
      <c r="I103" s="16"/>
      <c r="J103" s="16" t="s">
        <v>17</v>
      </c>
      <c r="K103" s="16"/>
      <c r="L103" s="16"/>
      <c r="M103" s="16"/>
      <c r="N103" s="16"/>
      <c r="O103" s="16"/>
      <c r="P103" s="16"/>
      <c r="Q103" s="16"/>
      <c r="R103" s="17"/>
    </row>
    <row r="104" spans="1:18" ht="18.75" x14ac:dyDescent="0.3">
      <c r="A104" s="19">
        <v>50</v>
      </c>
      <c r="B104" s="10" t="str">
        <f>"Filion"</f>
        <v>Filion</v>
      </c>
      <c r="C104" s="10" t="str">
        <f>"Xavier"</f>
        <v>Xavier</v>
      </c>
      <c r="D104" s="10" t="str">
        <f t="shared" si="6"/>
        <v>1 Kyu (Ceinture marron)</v>
      </c>
      <c r="E104" s="13" t="s">
        <v>22</v>
      </c>
      <c r="F104" s="11" t="str">
        <f t="shared" ref="F104:F115" si="9">"C079 Club de Judo Haut-Richelieu"</f>
        <v>C079 Club de Judo Haut-Richelieu</v>
      </c>
      <c r="G104" s="14"/>
      <c r="H104" s="14" t="s">
        <v>17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5"/>
    </row>
    <row r="105" spans="1:18" ht="19.5" thickBot="1" x14ac:dyDescent="0.35">
      <c r="A105" s="20"/>
      <c r="B105" s="8" t="str">
        <f>"Perreault"</f>
        <v>Perreault</v>
      </c>
      <c r="C105" s="8" t="str">
        <f>"Cassandra"</f>
        <v>Cassandra</v>
      </c>
      <c r="D105" s="8" t="str">
        <f t="shared" si="6"/>
        <v>1 Kyu (Ceinture marron)</v>
      </c>
      <c r="E105" s="8" t="s">
        <v>21</v>
      </c>
      <c r="F105" s="12" t="str">
        <f t="shared" si="9"/>
        <v>C079 Club de Judo Haut-Richelieu</v>
      </c>
      <c r="G105" s="16"/>
      <c r="H105" s="16" t="s">
        <v>17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7"/>
    </row>
    <row r="106" spans="1:18" ht="18.75" x14ac:dyDescent="0.3">
      <c r="A106" s="19">
        <v>51</v>
      </c>
      <c r="B106" s="10" t="str">
        <f>"Perreault"</f>
        <v>Perreault</v>
      </c>
      <c r="C106" s="10" t="str">
        <f>"Cassandra"</f>
        <v>Cassandra</v>
      </c>
      <c r="D106" s="10" t="str">
        <f t="shared" si="6"/>
        <v>1 Kyu (Ceinture marron)</v>
      </c>
      <c r="E106" s="13" t="s">
        <v>22</v>
      </c>
      <c r="F106" s="11" t="str">
        <f t="shared" si="9"/>
        <v>C079 Club de Judo Haut-Richelieu</v>
      </c>
      <c r="G106" s="14"/>
      <c r="H106" s="14" t="s">
        <v>17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5"/>
    </row>
    <row r="107" spans="1:18" ht="19.5" thickBot="1" x14ac:dyDescent="0.35">
      <c r="A107" s="20"/>
      <c r="B107" s="8" t="str">
        <f>"Filion"</f>
        <v>Filion</v>
      </c>
      <c r="C107" s="8" t="str">
        <f>"Xavier"</f>
        <v>Xavier</v>
      </c>
      <c r="D107" s="8" t="str">
        <f t="shared" si="6"/>
        <v>1 Kyu (Ceinture marron)</v>
      </c>
      <c r="E107" s="8" t="s">
        <v>21</v>
      </c>
      <c r="F107" s="12" t="str">
        <f t="shared" ref="F107" si="10">"C079 Club de Judo Haut-Richelieu"</f>
        <v>C079 Club de Judo Haut-Richelieu</v>
      </c>
      <c r="G107" s="16"/>
      <c r="H107" s="16" t="s">
        <v>17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7"/>
    </row>
    <row r="108" spans="1:18" ht="18.75" x14ac:dyDescent="0.3">
      <c r="A108" s="19">
        <v>52</v>
      </c>
      <c r="B108" s="10" t="str">
        <f>"Perreault"</f>
        <v>Perreault</v>
      </c>
      <c r="C108" s="10" t="str">
        <f>"Cassandra"</f>
        <v>Cassandra</v>
      </c>
      <c r="D108" s="10" t="str">
        <f t="shared" si="6"/>
        <v>1 Kyu (Ceinture marron)</v>
      </c>
      <c r="E108" s="10" t="s">
        <v>21</v>
      </c>
      <c r="F108" s="11" t="str">
        <f t="shared" si="9"/>
        <v>C079 Club de Judo Haut-Richelieu</v>
      </c>
      <c r="G108" s="14"/>
      <c r="H108" s="14"/>
      <c r="I108" s="14"/>
      <c r="J108" s="14" t="s">
        <v>17</v>
      </c>
      <c r="K108" s="14"/>
      <c r="L108" s="14"/>
      <c r="M108" s="14"/>
      <c r="N108" s="14"/>
      <c r="O108" s="14"/>
      <c r="P108" s="14"/>
      <c r="Q108" s="14"/>
      <c r="R108" s="15"/>
    </row>
    <row r="109" spans="1:18" ht="19.5" thickBot="1" x14ac:dyDescent="0.35">
      <c r="A109" s="20"/>
      <c r="B109" s="8" t="str">
        <f>"Roy"</f>
        <v>Roy</v>
      </c>
      <c r="C109" s="8" t="str">
        <f>"Jean-Sebastien"</f>
        <v>Jean-Sebastien</v>
      </c>
      <c r="D109" s="8" t="str">
        <f t="shared" ref="D109:D110" si="11">"1 Kyu (Ceinture marron)"</f>
        <v>1 Kyu (Ceinture marron)</v>
      </c>
      <c r="E109" s="8" t="s">
        <v>21</v>
      </c>
      <c r="F109" s="12" t="str">
        <f t="shared" si="9"/>
        <v>C079 Club de Judo Haut-Richelieu</v>
      </c>
      <c r="G109" s="16"/>
      <c r="H109" s="16"/>
      <c r="I109" s="16"/>
      <c r="J109" s="16" t="s">
        <v>17</v>
      </c>
      <c r="K109" s="16"/>
      <c r="L109" s="16"/>
      <c r="M109" s="16"/>
      <c r="N109" s="16"/>
      <c r="O109" s="16"/>
      <c r="P109" s="16"/>
      <c r="Q109" s="16"/>
      <c r="R109" s="17"/>
    </row>
    <row r="110" spans="1:18" ht="18.75" x14ac:dyDescent="0.3">
      <c r="A110" s="19">
        <v>53</v>
      </c>
      <c r="B110" s="10" t="str">
        <f>"Roy"</f>
        <v>Roy</v>
      </c>
      <c r="C110" s="10" t="str">
        <f>"Jean-Sebastien"</f>
        <v>Jean-Sebastien</v>
      </c>
      <c r="D110" s="10" t="str">
        <f t="shared" si="11"/>
        <v>1 Kyu (Ceinture marron)</v>
      </c>
      <c r="E110" s="13" t="s">
        <v>22</v>
      </c>
      <c r="F110" s="11" t="str">
        <f t="shared" si="9"/>
        <v>C079 Club de Judo Haut-Richelieu</v>
      </c>
      <c r="G110" s="14"/>
      <c r="H110" s="14" t="s">
        <v>17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5"/>
    </row>
    <row r="111" spans="1:18" ht="19.5" thickBot="1" x14ac:dyDescent="0.35">
      <c r="A111" s="20"/>
      <c r="B111" s="8" t="str">
        <f>"Fontaine"</f>
        <v>Fontaine</v>
      </c>
      <c r="C111" s="8" t="str">
        <f>"Felix-Antoine"</f>
        <v>Felix-Antoine</v>
      </c>
      <c r="D111" s="8" t="str">
        <f>"2 Kyu (Ceinture bleue)"</f>
        <v>2 Kyu (Ceinture bleue)</v>
      </c>
      <c r="E111" s="8" t="s">
        <v>21</v>
      </c>
      <c r="F111" s="12" t="str">
        <f t="shared" si="9"/>
        <v>C079 Club de Judo Haut-Richelieu</v>
      </c>
      <c r="G111" s="16"/>
      <c r="H111" s="16" t="s">
        <v>17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7"/>
    </row>
    <row r="112" spans="1:18" ht="18.75" x14ac:dyDescent="0.3">
      <c r="A112" s="19">
        <v>54</v>
      </c>
      <c r="B112" s="10" t="str">
        <f>"Lachance"</f>
        <v>Lachance</v>
      </c>
      <c r="C112" s="10" t="str">
        <f>"Frederic"</f>
        <v>Frederic</v>
      </c>
      <c r="D112" s="10" t="str">
        <f t="shared" ref="D112:D115" si="12">"1 Kyu (Ceinture marron)"</f>
        <v>1 Kyu (Ceinture marron)</v>
      </c>
      <c r="E112" s="13" t="s">
        <v>22</v>
      </c>
      <c r="F112" s="11" t="str">
        <f t="shared" si="9"/>
        <v>C079 Club de Judo Haut-Richelieu</v>
      </c>
      <c r="G112" s="14"/>
      <c r="H112" s="14" t="s">
        <v>17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5"/>
    </row>
    <row r="113" spans="1:18" ht="19.5" thickBot="1" x14ac:dyDescent="0.35">
      <c r="A113" s="20"/>
      <c r="B113" s="8" t="str">
        <f>"Roy"</f>
        <v>Roy</v>
      </c>
      <c r="C113" s="8" t="str">
        <f>"Jean-Sebastien"</f>
        <v>Jean-Sebastien</v>
      </c>
      <c r="D113" s="8" t="str">
        <f t="shared" si="12"/>
        <v>1 Kyu (Ceinture marron)</v>
      </c>
      <c r="E113" s="8" t="s">
        <v>21</v>
      </c>
      <c r="F113" s="12" t="str">
        <f t="shared" si="9"/>
        <v>C079 Club de Judo Haut-Richelieu</v>
      </c>
      <c r="G113" s="16"/>
      <c r="H113" s="16" t="s">
        <v>17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7"/>
    </row>
    <row r="114" spans="1:18" ht="18.75" x14ac:dyDescent="0.3">
      <c r="A114" s="19">
        <v>55</v>
      </c>
      <c r="B114" s="10" t="str">
        <f>"Lachance"</f>
        <v>Lachance</v>
      </c>
      <c r="C114" s="10" t="str">
        <f>"Frederic"</f>
        <v>Frederic</v>
      </c>
      <c r="D114" s="10" t="str">
        <f t="shared" si="12"/>
        <v>1 Kyu (Ceinture marron)</v>
      </c>
      <c r="E114" s="10" t="s">
        <v>21</v>
      </c>
      <c r="F114" s="11" t="str">
        <f t="shared" si="9"/>
        <v>C079 Club de Judo Haut-Richelieu</v>
      </c>
      <c r="G114" s="14"/>
      <c r="H114" s="14"/>
      <c r="I114" s="14" t="s">
        <v>17</v>
      </c>
      <c r="J114" s="14"/>
      <c r="K114" s="14"/>
      <c r="L114" s="14"/>
      <c r="M114" s="14"/>
      <c r="N114" s="14"/>
      <c r="O114" s="14"/>
      <c r="P114" s="14"/>
      <c r="Q114" s="14"/>
      <c r="R114" s="15"/>
    </row>
    <row r="115" spans="1:18" ht="19.5" thickBot="1" x14ac:dyDescent="0.35">
      <c r="A115" s="20"/>
      <c r="B115" s="8" t="str">
        <f>"Roy"</f>
        <v>Roy</v>
      </c>
      <c r="C115" s="8" t="str">
        <f>"Jean-Sebastien"</f>
        <v>Jean-Sebastien</v>
      </c>
      <c r="D115" s="8" t="str">
        <f t="shared" si="12"/>
        <v>1 Kyu (Ceinture marron)</v>
      </c>
      <c r="E115" s="8" t="s">
        <v>21</v>
      </c>
      <c r="F115" s="12" t="str">
        <f t="shared" si="9"/>
        <v>C079 Club de Judo Haut-Richelieu</v>
      </c>
      <c r="G115" s="16"/>
      <c r="H115" s="16"/>
      <c r="I115" s="16" t="s">
        <v>17</v>
      </c>
      <c r="J115" s="16"/>
      <c r="K115" s="16"/>
      <c r="L115" s="16"/>
      <c r="M115" s="16"/>
      <c r="N115" s="16"/>
      <c r="O115" s="16"/>
      <c r="P115" s="16"/>
      <c r="Q115" s="16"/>
      <c r="R115" s="17"/>
    </row>
    <row r="116" spans="1:18" ht="18.75" x14ac:dyDescent="0.3">
      <c r="A116" s="19">
        <v>56</v>
      </c>
      <c r="B116" s="10" t="str">
        <f>"Dion"</f>
        <v>Dion</v>
      </c>
      <c r="C116" s="10" t="str">
        <f>"Gabriel"</f>
        <v>Gabriel</v>
      </c>
      <c r="D116" s="10" t="str">
        <f>"1 Kyu (Ceinture marron)"</f>
        <v>1 Kyu (Ceinture marron)</v>
      </c>
      <c r="E116" s="13" t="s">
        <v>22</v>
      </c>
      <c r="F116" s="11" t="str">
        <f>"C095 Club de judo Hakudokan"</f>
        <v>C095 Club de judo Hakudokan</v>
      </c>
      <c r="G116" s="14"/>
      <c r="H116" s="14"/>
      <c r="I116" s="14"/>
      <c r="J116" s="14"/>
      <c r="K116" s="14"/>
      <c r="L116" s="14"/>
      <c r="M116" s="14" t="s">
        <v>17</v>
      </c>
      <c r="N116" s="14"/>
      <c r="O116" s="14"/>
      <c r="P116" s="14"/>
      <c r="Q116" s="14"/>
      <c r="R116" s="15"/>
    </row>
    <row r="117" spans="1:18" ht="19.5" thickBot="1" x14ac:dyDescent="0.35">
      <c r="A117" s="20"/>
      <c r="B117" s="8" t="str">
        <f>"Cargill"</f>
        <v>Cargill</v>
      </c>
      <c r="C117" s="8" t="str">
        <f>"Matthew"</f>
        <v>Matthew</v>
      </c>
      <c r="D117" s="8" t="str">
        <f>"1 Kyu (Ceinture marron)"</f>
        <v>1 Kyu (Ceinture marron)</v>
      </c>
      <c r="E117" s="8" t="s">
        <v>21</v>
      </c>
      <c r="F117" s="12" t="str">
        <f>"C095 Club de judo Hakudokan"</f>
        <v>C095 Club de judo Hakudokan</v>
      </c>
      <c r="G117" s="16"/>
      <c r="H117" s="16"/>
      <c r="I117" s="16"/>
      <c r="J117" s="16"/>
      <c r="K117" s="16"/>
      <c r="L117" s="16"/>
      <c r="M117" s="16" t="s">
        <v>17</v>
      </c>
      <c r="N117" s="16"/>
      <c r="O117" s="16"/>
      <c r="P117" s="16"/>
      <c r="Q117" s="16"/>
      <c r="R117" s="17"/>
    </row>
    <row r="118" spans="1:18" ht="18.75" x14ac:dyDescent="0.3">
      <c r="A118" s="19">
        <v>57</v>
      </c>
      <c r="B118" s="10" t="str">
        <f>"Cargill"</f>
        <v>Cargill</v>
      </c>
      <c r="C118" s="10" t="str">
        <f>"Matthew"</f>
        <v>Matthew</v>
      </c>
      <c r="D118" s="10" t="str">
        <f>"1 Kyu (Ceinture marron)"</f>
        <v>1 Kyu (Ceinture marron)</v>
      </c>
      <c r="E118" s="13" t="s">
        <v>22</v>
      </c>
      <c r="F118" s="11" t="str">
        <f>"C095 Club de judo Hakudokan"</f>
        <v>C095 Club de judo Hakudokan</v>
      </c>
      <c r="G118" s="14"/>
      <c r="H118" s="14"/>
      <c r="I118" s="14"/>
      <c r="J118" s="14"/>
      <c r="K118" s="14"/>
      <c r="L118" s="14"/>
      <c r="M118" s="14" t="s">
        <v>17</v>
      </c>
      <c r="N118" s="14"/>
      <c r="O118" s="14"/>
      <c r="P118" s="14"/>
      <c r="Q118" s="14"/>
      <c r="R118" s="15"/>
    </row>
    <row r="119" spans="1:18" ht="19.5" thickBot="1" x14ac:dyDescent="0.35">
      <c r="A119" s="20"/>
      <c r="B119" s="8" t="str">
        <f>"Dion"</f>
        <v>Dion</v>
      </c>
      <c r="C119" s="8" t="str">
        <f>"Gabriel"</f>
        <v>Gabriel</v>
      </c>
      <c r="D119" s="8" t="str">
        <f>"1 Kyu (Ceinture marron)"</f>
        <v>1 Kyu (Ceinture marron)</v>
      </c>
      <c r="E119" s="8" t="s">
        <v>21</v>
      </c>
      <c r="F119" s="12" t="str">
        <f>"C095 Club de judo Hakudokan"</f>
        <v>C095 Club de judo Hakudokan</v>
      </c>
      <c r="G119" s="16"/>
      <c r="H119" s="16"/>
      <c r="I119" s="16"/>
      <c r="J119" s="16"/>
      <c r="K119" s="16"/>
      <c r="L119" s="16"/>
      <c r="M119" s="16" t="s">
        <v>17</v>
      </c>
      <c r="N119" s="16"/>
      <c r="O119" s="16"/>
      <c r="P119" s="16"/>
      <c r="Q119" s="16"/>
      <c r="R119" s="17"/>
    </row>
    <row r="120" spans="1:18" ht="18.75" x14ac:dyDescent="0.3">
      <c r="A120" s="19">
        <v>58</v>
      </c>
      <c r="B120" s="10" t="str">
        <f>"Senesac"</f>
        <v>Senesac</v>
      </c>
      <c r="C120" s="10" t="str">
        <f>"Paul-Andre"</f>
        <v>Paul-Andre</v>
      </c>
      <c r="D120" s="10" t="str">
        <f>"1 Kyu (Ceinture marron)"</f>
        <v>1 Kyu (Ceinture marron)</v>
      </c>
      <c r="E120" s="13" t="s">
        <v>22</v>
      </c>
      <c r="F120" s="11" t="str">
        <f>"C341 Club de judo Torakai"</f>
        <v>C341 Club de judo Torakai</v>
      </c>
      <c r="G120" s="14"/>
      <c r="H120" s="14"/>
      <c r="I120" s="14"/>
      <c r="J120" s="14"/>
      <c r="K120" s="14"/>
      <c r="L120" s="14"/>
      <c r="M120" s="14" t="s">
        <v>17</v>
      </c>
      <c r="N120" s="14"/>
      <c r="O120" s="14"/>
      <c r="P120" s="14"/>
      <c r="Q120" s="14"/>
      <c r="R120" s="15"/>
    </row>
    <row r="121" spans="1:18" ht="19.5" thickBot="1" x14ac:dyDescent="0.35">
      <c r="A121" s="20"/>
      <c r="B121" s="8" t="s">
        <v>19</v>
      </c>
      <c r="C121" s="8" t="s">
        <v>20</v>
      </c>
      <c r="D121" s="8"/>
      <c r="E121" s="8" t="s">
        <v>21</v>
      </c>
      <c r="F121" s="12"/>
      <c r="G121" s="16"/>
      <c r="H121" s="16"/>
      <c r="I121" s="16"/>
      <c r="J121" s="16"/>
      <c r="K121" s="16"/>
      <c r="L121" s="16"/>
      <c r="M121" s="16" t="s">
        <v>17</v>
      </c>
      <c r="N121" s="16"/>
      <c r="O121" s="16"/>
      <c r="P121" s="16"/>
      <c r="Q121" s="16"/>
      <c r="R121" s="17"/>
    </row>
    <row r="122" spans="1:18" ht="18.75" x14ac:dyDescent="0.3">
      <c r="A122" s="19">
        <v>59</v>
      </c>
      <c r="B122" s="10" t="str">
        <f>"Gauthier-Hansen"</f>
        <v>Gauthier-Hansen</v>
      </c>
      <c r="C122" s="10" t="str">
        <f>"Simon"</f>
        <v>Simon</v>
      </c>
      <c r="D122" s="10" t="str">
        <f>"Yondan (4dan)"</f>
        <v>Yondan (4dan)</v>
      </c>
      <c r="E122" s="10" t="s">
        <v>21</v>
      </c>
      <c r="F122" s="11" t="str">
        <f>"C341 Club de judo Torakai"</f>
        <v>C341 Club de judo Torakai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 t="s">
        <v>17</v>
      </c>
      <c r="R122" s="15"/>
    </row>
    <row r="123" spans="1:18" ht="19.5" thickBot="1" x14ac:dyDescent="0.35">
      <c r="A123" s="20"/>
      <c r="B123" s="8" t="s">
        <v>19</v>
      </c>
      <c r="C123" s="8" t="s">
        <v>20</v>
      </c>
      <c r="D123" s="8"/>
      <c r="E123" s="8" t="s">
        <v>21</v>
      </c>
      <c r="F123" s="12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 t="s">
        <v>17</v>
      </c>
      <c r="R123" s="17"/>
    </row>
    <row r="124" spans="1:18" ht="18.75" x14ac:dyDescent="0.3">
      <c r="A124" s="19">
        <v>60</v>
      </c>
      <c r="B124" s="10" t="str">
        <f>"Valentin"</f>
        <v>Valentin</v>
      </c>
      <c r="C124" s="10" t="str">
        <f>"Maika"</f>
        <v>Maika</v>
      </c>
      <c r="D124" s="10" t="str">
        <f>"1 Kyu (Ceinture marron)"</f>
        <v>1 Kyu (Ceinture marron)</v>
      </c>
      <c r="E124" s="13" t="s">
        <v>22</v>
      </c>
      <c r="F124" s="11" t="str">
        <f>"C341 Club de judo Torakai"</f>
        <v>C341 Club de judo Torakai</v>
      </c>
      <c r="G124" s="14"/>
      <c r="H124" s="14" t="s">
        <v>17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5"/>
    </row>
    <row r="125" spans="1:18" ht="19.5" thickBot="1" x14ac:dyDescent="0.35">
      <c r="A125" s="20"/>
      <c r="B125" s="8" t="s">
        <v>19</v>
      </c>
      <c r="C125" s="8" t="s">
        <v>20</v>
      </c>
      <c r="D125" s="8"/>
      <c r="E125" s="8" t="s">
        <v>21</v>
      </c>
      <c r="F125" s="12"/>
      <c r="G125" s="16"/>
      <c r="H125" s="16" t="s">
        <v>17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7"/>
    </row>
    <row r="126" spans="1:18" ht="18.75" x14ac:dyDescent="0.3">
      <c r="A126" s="19">
        <v>61</v>
      </c>
      <c r="B126" s="10" t="str">
        <f>"Valentin"</f>
        <v>Valentin</v>
      </c>
      <c r="C126" s="10" t="str">
        <f>"Maika"</f>
        <v>Maika</v>
      </c>
      <c r="D126" s="10" t="str">
        <f>"1 Kyu (Ceinture marron)"</f>
        <v>1 Kyu (Ceinture marron)</v>
      </c>
      <c r="E126" s="10" t="s">
        <v>21</v>
      </c>
      <c r="F126" s="11" t="str">
        <f>"C341 Club de judo Torakai"</f>
        <v>C341 Club de judo Torakai</v>
      </c>
      <c r="G126" s="14"/>
      <c r="H126" s="14"/>
      <c r="I126" s="14"/>
      <c r="J126" s="14"/>
      <c r="K126" s="14" t="s">
        <v>17</v>
      </c>
      <c r="L126" s="14"/>
      <c r="M126" s="14"/>
      <c r="N126" s="14"/>
      <c r="O126" s="14"/>
      <c r="P126" s="14"/>
      <c r="Q126" s="14"/>
      <c r="R126" s="15"/>
    </row>
    <row r="127" spans="1:18" ht="19.5" thickBot="1" x14ac:dyDescent="0.35">
      <c r="A127" s="20"/>
      <c r="B127" s="8" t="s">
        <v>19</v>
      </c>
      <c r="C127" s="8" t="s">
        <v>20</v>
      </c>
      <c r="D127" s="8"/>
      <c r="E127" s="8" t="s">
        <v>21</v>
      </c>
      <c r="F127" s="12"/>
      <c r="G127" s="16"/>
      <c r="H127" s="16"/>
      <c r="I127" s="16"/>
      <c r="J127" s="16"/>
      <c r="K127" s="16" t="s">
        <v>17</v>
      </c>
      <c r="L127" s="16"/>
      <c r="M127" s="16"/>
      <c r="N127" s="16"/>
      <c r="O127" s="16"/>
      <c r="P127" s="16"/>
      <c r="Q127" s="16"/>
      <c r="R127" s="17"/>
    </row>
    <row r="128" spans="1:18" ht="18.75" x14ac:dyDescent="0.3">
      <c r="A128" s="19">
        <v>62</v>
      </c>
      <c r="B128" s="10" t="str">
        <f>"Restrepo"</f>
        <v>Restrepo</v>
      </c>
      <c r="C128" s="10" t="str">
        <f>"Santiago"</f>
        <v>Santiago</v>
      </c>
      <c r="D128" s="10" t="str">
        <f>"2 Kyu (Ceinture bleue)"</f>
        <v>2 Kyu (Ceinture bleue)</v>
      </c>
      <c r="E128" s="10" t="s">
        <v>21</v>
      </c>
      <c r="F128" s="11" t="str">
        <f>"Kawasaki Rendokan"</f>
        <v>Kawasaki Rendokan</v>
      </c>
      <c r="G128" s="14"/>
      <c r="H128" s="14" t="s">
        <v>17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5"/>
    </row>
    <row r="129" spans="1:18" ht="19.5" thickBot="1" x14ac:dyDescent="0.35">
      <c r="A129" s="20"/>
      <c r="B129" s="8" t="str">
        <f>"Cukier"</f>
        <v>Cukier</v>
      </c>
      <c r="C129" s="8" t="s">
        <v>26</v>
      </c>
      <c r="D129" s="8"/>
      <c r="E129" s="8" t="s">
        <v>21</v>
      </c>
      <c r="F129" s="12"/>
      <c r="G129" s="16"/>
      <c r="H129" s="16" t="s">
        <v>17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7"/>
    </row>
    <row r="130" spans="1:18" ht="19.5" thickBot="1" x14ac:dyDescent="0.35">
      <c r="A130" s="19">
        <v>63</v>
      </c>
      <c r="B130" s="10" t="str">
        <f>"Brassard"</f>
        <v>Brassard</v>
      </c>
      <c r="C130" s="10" t="str">
        <f>"Michel"</f>
        <v>Michel</v>
      </c>
      <c r="D130" s="10" t="str">
        <f>"Yondan (4dan)"</f>
        <v>Yondan (4dan)</v>
      </c>
      <c r="E130" s="13" t="s">
        <v>22</v>
      </c>
      <c r="F130" s="11" t="str">
        <f>"C263 Club de judo Seïkidokan inc."</f>
        <v>C263 Club de judo Seïkidokan inc.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 t="s">
        <v>17</v>
      </c>
      <c r="Q130" s="14"/>
      <c r="R130" s="15"/>
    </row>
    <row r="131" spans="1:18" ht="19.5" thickBot="1" x14ac:dyDescent="0.35">
      <c r="A131" s="20"/>
      <c r="B131" s="8" t="s">
        <v>24</v>
      </c>
      <c r="C131" s="8" t="s">
        <v>25</v>
      </c>
      <c r="D131" s="8" t="s">
        <v>27</v>
      </c>
      <c r="E131" s="8" t="s">
        <v>21</v>
      </c>
      <c r="F131" s="11" t="str">
        <f>"C263 Club de judo Seïkidokan inc."</f>
        <v>C263 Club de judo Seïkidokan inc.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 t="s">
        <v>17</v>
      </c>
      <c r="Q131" s="16"/>
      <c r="R131" s="17"/>
    </row>
    <row r="132" spans="1:18" ht="18.75" x14ac:dyDescent="0.3">
      <c r="A132" s="19">
        <v>64</v>
      </c>
      <c r="B132" s="10" t="str">
        <f>"Bouillet"</f>
        <v>Bouillet</v>
      </c>
      <c r="C132" s="10" t="str">
        <f>"Yannick"</f>
        <v>Yannick</v>
      </c>
      <c r="D132" s="10" t="str">
        <f t="shared" ref="D132:D147" si="13">"1 Kyu (Ceinture marron)"</f>
        <v>1 Kyu (Ceinture marron)</v>
      </c>
      <c r="E132" s="13" t="s">
        <v>22</v>
      </c>
      <c r="F132" s="11" t="str">
        <f>"C009 Club de judo To Haku kan inc."</f>
        <v>C009 Club de judo To Haku kan inc.</v>
      </c>
      <c r="G132" s="14"/>
      <c r="H132" s="14"/>
      <c r="I132" s="14"/>
      <c r="J132" s="14"/>
      <c r="K132" s="14"/>
      <c r="L132" s="14"/>
      <c r="M132" s="14" t="s">
        <v>17</v>
      </c>
      <c r="N132" s="14"/>
      <c r="O132" s="14"/>
      <c r="P132" s="14"/>
      <c r="Q132" s="14"/>
      <c r="R132" s="15"/>
    </row>
    <row r="133" spans="1:18" ht="19.5" thickBot="1" x14ac:dyDescent="0.35">
      <c r="A133" s="20"/>
      <c r="B133" s="8" t="str">
        <f>"Valjent"</f>
        <v>Valjent</v>
      </c>
      <c r="C133" s="8" t="str">
        <f>"Noah"</f>
        <v>Noah</v>
      </c>
      <c r="D133" s="8" t="str">
        <f t="shared" si="13"/>
        <v>1 Kyu (Ceinture marron)</v>
      </c>
      <c r="E133" s="8" t="s">
        <v>21</v>
      </c>
      <c r="F133" s="12" t="str">
        <f>"C009 Club de judo To Haku kan inc."</f>
        <v>C009 Club de judo To Haku kan inc.</v>
      </c>
      <c r="G133" s="16"/>
      <c r="H133" s="16"/>
      <c r="I133" s="16"/>
      <c r="J133" s="16"/>
      <c r="K133" s="16"/>
      <c r="L133" s="16"/>
      <c r="M133" s="16" t="s">
        <v>17</v>
      </c>
      <c r="N133" s="16"/>
      <c r="O133" s="16"/>
      <c r="P133" s="16"/>
      <c r="Q133" s="16"/>
      <c r="R133" s="17"/>
    </row>
    <row r="134" spans="1:18" ht="18.75" x14ac:dyDescent="0.3">
      <c r="A134" s="19">
        <v>65</v>
      </c>
      <c r="B134" s="10" t="str">
        <f>"Valjent"</f>
        <v>Valjent</v>
      </c>
      <c r="C134" s="10" t="str">
        <f>"Noah"</f>
        <v>Noah</v>
      </c>
      <c r="D134" s="10" t="str">
        <f t="shared" si="13"/>
        <v>1 Kyu (Ceinture marron)</v>
      </c>
      <c r="E134" s="13" t="s">
        <v>22</v>
      </c>
      <c r="F134" s="11" t="str">
        <f>"C009 Club de judo To Haku kan inc."</f>
        <v>C009 Club de judo To Haku kan inc.</v>
      </c>
      <c r="G134" s="14"/>
      <c r="H134" s="14"/>
      <c r="I134" s="14"/>
      <c r="J134" s="14"/>
      <c r="K134" s="14"/>
      <c r="L134" s="14"/>
      <c r="M134" s="14" t="s">
        <v>17</v>
      </c>
      <c r="N134" s="14"/>
      <c r="O134" s="14"/>
      <c r="P134" s="14"/>
      <c r="Q134" s="14"/>
      <c r="R134" s="15"/>
    </row>
    <row r="135" spans="1:18" ht="19.5" thickBot="1" x14ac:dyDescent="0.35">
      <c r="A135" s="20"/>
      <c r="B135" s="8" t="str">
        <f>"Bouillet"</f>
        <v>Bouillet</v>
      </c>
      <c r="C135" s="8" t="str">
        <f>"Yannick"</f>
        <v>Yannick</v>
      </c>
      <c r="D135" s="8" t="str">
        <f t="shared" si="13"/>
        <v>1 Kyu (Ceinture marron)</v>
      </c>
      <c r="E135" s="8" t="s">
        <v>21</v>
      </c>
      <c r="F135" s="12" t="str">
        <f>"C009 Club de judo To Haku kan inc."</f>
        <v>C009 Club de judo To Haku kan inc.</v>
      </c>
      <c r="G135" s="16"/>
      <c r="H135" s="16"/>
      <c r="I135" s="16"/>
      <c r="J135" s="16"/>
      <c r="K135" s="16"/>
      <c r="L135" s="16"/>
      <c r="M135" s="16" t="s">
        <v>17</v>
      </c>
      <c r="N135" s="16"/>
      <c r="O135" s="16"/>
      <c r="P135" s="16"/>
      <c r="Q135" s="16"/>
      <c r="R135" s="17"/>
    </row>
    <row r="136" spans="1:18" ht="19.5" thickBot="1" x14ac:dyDescent="0.35">
      <c r="A136" s="19">
        <v>66</v>
      </c>
      <c r="B136" s="10" t="str">
        <f>"Aubin"</f>
        <v>Aubin</v>
      </c>
      <c r="C136" s="10" t="str">
        <f>"Danick"</f>
        <v>Danick</v>
      </c>
      <c r="D136" s="10" t="str">
        <f t="shared" si="13"/>
        <v>1 Kyu (Ceinture marron)</v>
      </c>
      <c r="E136" s="13" t="s">
        <v>22</v>
      </c>
      <c r="F136" s="11" t="str">
        <f t="shared" ref="F136:F141" si="14">"C032 Club de judo Saint-Hubert"</f>
        <v>C032 Club de judo Saint-Hubert</v>
      </c>
      <c r="G136" s="14"/>
      <c r="H136" s="14"/>
      <c r="I136" s="14"/>
      <c r="J136" s="14"/>
      <c r="K136" s="14"/>
      <c r="L136" s="14"/>
      <c r="M136" s="14" t="s">
        <v>17</v>
      </c>
      <c r="N136" s="14"/>
      <c r="O136" s="14"/>
      <c r="P136" s="14"/>
      <c r="Q136" s="14"/>
      <c r="R136" s="15"/>
    </row>
    <row r="137" spans="1:18" ht="19.5" thickBot="1" x14ac:dyDescent="0.35">
      <c r="A137" s="20"/>
      <c r="B137" s="8" t="str">
        <f>"Vanyukhin"</f>
        <v>Vanyukhin</v>
      </c>
      <c r="C137" s="8" t="str">
        <f>"Kirill"</f>
        <v>Kirill</v>
      </c>
      <c r="D137" s="8" t="str">
        <f t="shared" si="13"/>
        <v>1 Kyu (Ceinture marron)</v>
      </c>
      <c r="E137" s="13" t="s">
        <v>22</v>
      </c>
      <c r="F137" s="12" t="str">
        <f t="shared" si="14"/>
        <v>C032 Club de judo Saint-Hubert</v>
      </c>
      <c r="G137" s="16"/>
      <c r="H137" s="16"/>
      <c r="I137" s="16"/>
      <c r="J137" s="16"/>
      <c r="K137" s="16"/>
      <c r="L137" s="16"/>
      <c r="M137" s="16" t="s">
        <v>17</v>
      </c>
      <c r="N137" s="16"/>
      <c r="O137" s="16"/>
      <c r="P137" s="16"/>
      <c r="Q137" s="16"/>
      <c r="R137" s="17"/>
    </row>
    <row r="138" spans="1:18" ht="18.75" x14ac:dyDescent="0.3">
      <c r="A138" s="19">
        <v>67</v>
      </c>
      <c r="B138" s="10" t="str">
        <f>"Levesque"</f>
        <v>Levesque</v>
      </c>
      <c r="C138" s="10" t="str">
        <f>"Olivier"</f>
        <v>Olivier</v>
      </c>
      <c r="D138" s="10" t="str">
        <f t="shared" si="13"/>
        <v>1 Kyu (Ceinture marron)</v>
      </c>
      <c r="E138" s="13" t="s">
        <v>22</v>
      </c>
      <c r="F138" s="11" t="str">
        <f t="shared" si="14"/>
        <v>C032 Club de judo Saint-Hubert</v>
      </c>
      <c r="G138" s="14"/>
      <c r="H138" s="14"/>
      <c r="I138" s="14"/>
      <c r="J138" s="14"/>
      <c r="K138" s="14"/>
      <c r="L138" s="14"/>
      <c r="M138" s="14" t="s">
        <v>17</v>
      </c>
      <c r="N138" s="14"/>
      <c r="O138" s="14"/>
      <c r="P138" s="14"/>
      <c r="Q138" s="14"/>
      <c r="R138" s="15"/>
    </row>
    <row r="139" spans="1:18" ht="19.5" thickBot="1" x14ac:dyDescent="0.35">
      <c r="A139" s="20"/>
      <c r="B139" s="8" t="str">
        <f>"Paraherakis"</f>
        <v>Paraherakis</v>
      </c>
      <c r="C139" s="8" t="str">
        <f>"Ioannis"</f>
        <v>Ioannis</v>
      </c>
      <c r="D139" s="8" t="str">
        <f t="shared" si="13"/>
        <v>1 Kyu (Ceinture marron)</v>
      </c>
      <c r="E139" s="8" t="s">
        <v>21</v>
      </c>
      <c r="F139" s="12" t="str">
        <f t="shared" si="14"/>
        <v>C032 Club de judo Saint-Hubert</v>
      </c>
      <c r="G139" s="16"/>
      <c r="H139" s="16"/>
      <c r="I139" s="16"/>
      <c r="J139" s="16"/>
      <c r="K139" s="16"/>
      <c r="L139" s="16"/>
      <c r="M139" s="16" t="s">
        <v>17</v>
      </c>
      <c r="N139" s="16"/>
      <c r="O139" s="16"/>
      <c r="P139" s="16"/>
      <c r="Q139" s="16"/>
      <c r="R139" s="17"/>
    </row>
    <row r="140" spans="1:18" ht="18.75" x14ac:dyDescent="0.3">
      <c r="A140" s="19">
        <v>68</v>
      </c>
      <c r="B140" s="10" t="str">
        <f>"Paraherakis"</f>
        <v>Paraherakis</v>
      </c>
      <c r="C140" s="10" t="str">
        <f>"Ioannis"</f>
        <v>Ioannis</v>
      </c>
      <c r="D140" s="10" t="str">
        <f t="shared" si="13"/>
        <v>1 Kyu (Ceinture marron)</v>
      </c>
      <c r="E140" s="13" t="s">
        <v>22</v>
      </c>
      <c r="F140" s="11" t="str">
        <f t="shared" si="14"/>
        <v>C032 Club de judo Saint-Hubert</v>
      </c>
      <c r="G140" s="14"/>
      <c r="H140" s="14"/>
      <c r="I140" s="14"/>
      <c r="J140" s="14"/>
      <c r="K140" s="14"/>
      <c r="L140" s="14"/>
      <c r="M140" s="14" t="s">
        <v>17</v>
      </c>
      <c r="N140" s="14"/>
      <c r="O140" s="14"/>
      <c r="P140" s="14"/>
      <c r="Q140" s="14"/>
      <c r="R140" s="15"/>
    </row>
    <row r="141" spans="1:18" ht="19.5" thickBot="1" x14ac:dyDescent="0.35">
      <c r="A141" s="20"/>
      <c r="B141" s="8" t="str">
        <f>"Levesque"</f>
        <v>Levesque</v>
      </c>
      <c r="C141" s="8" t="str">
        <f>"Olivier"</f>
        <v>Olivier</v>
      </c>
      <c r="D141" s="8" t="str">
        <f t="shared" si="13"/>
        <v>1 Kyu (Ceinture marron)</v>
      </c>
      <c r="E141" s="8" t="s">
        <v>21</v>
      </c>
      <c r="F141" s="12" t="str">
        <f t="shared" si="14"/>
        <v>C032 Club de judo Saint-Hubert</v>
      </c>
      <c r="G141" s="16"/>
      <c r="H141" s="16"/>
      <c r="I141" s="16"/>
      <c r="J141" s="16"/>
      <c r="K141" s="16"/>
      <c r="L141" s="16"/>
      <c r="M141" s="16" t="s">
        <v>17</v>
      </c>
      <c r="N141" s="16"/>
      <c r="O141" s="16"/>
      <c r="P141" s="16"/>
      <c r="Q141" s="16"/>
      <c r="R141" s="17"/>
    </row>
    <row r="142" spans="1:18" ht="18.75" x14ac:dyDescent="0.3">
      <c r="A142" s="19">
        <v>69</v>
      </c>
      <c r="B142" s="10" t="str">
        <f>"Belanger"</f>
        <v>Belanger</v>
      </c>
      <c r="C142" s="10" t="str">
        <f>"Liana"</f>
        <v>Liana</v>
      </c>
      <c r="D142" s="10" t="str">
        <f t="shared" si="13"/>
        <v>1 Kyu (Ceinture marron)</v>
      </c>
      <c r="E142" s="13" t="s">
        <v>22</v>
      </c>
      <c r="F142" s="11" t="str">
        <f>"C009 Club de judo To Haku kan inc."</f>
        <v>C009 Club de judo To Haku kan inc.</v>
      </c>
      <c r="G142" s="14"/>
      <c r="H142" s="14" t="s">
        <v>17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5"/>
    </row>
    <row r="143" spans="1:18" ht="19.5" thickBot="1" x14ac:dyDescent="0.35">
      <c r="A143" s="20"/>
      <c r="B143" s="8" t="str">
        <f>"Fecteau"</f>
        <v>Fecteau</v>
      </c>
      <c r="C143" s="8" t="str">
        <f>"Sebastien"</f>
        <v>Sebastien</v>
      </c>
      <c r="D143" s="8" t="str">
        <f t="shared" si="13"/>
        <v>1 Kyu (Ceinture marron)</v>
      </c>
      <c r="E143" s="8" t="s">
        <v>21</v>
      </c>
      <c r="F143" s="12" t="str">
        <f>"C009 Club de judo To Haku kan inc."</f>
        <v>C009 Club de judo To Haku kan inc.</v>
      </c>
      <c r="G143" s="16"/>
      <c r="H143" s="16" t="s">
        <v>17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7"/>
    </row>
    <row r="144" spans="1:18" ht="18.75" x14ac:dyDescent="0.3">
      <c r="A144" s="19">
        <v>70</v>
      </c>
      <c r="B144" s="10" t="str">
        <f>"Fecteau"</f>
        <v>Fecteau</v>
      </c>
      <c r="C144" s="10" t="str">
        <f>"Sebastien"</f>
        <v>Sebastien</v>
      </c>
      <c r="D144" s="10" t="str">
        <f t="shared" si="13"/>
        <v>1 Kyu (Ceinture marron)</v>
      </c>
      <c r="E144" s="13" t="s">
        <v>22</v>
      </c>
      <c r="F144" s="11" t="str">
        <f>"C009 Club de judo To Haku kan inc."</f>
        <v>C009 Club de judo To Haku kan inc.</v>
      </c>
      <c r="G144" s="14"/>
      <c r="H144" s="14" t="s">
        <v>17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5"/>
    </row>
    <row r="145" spans="1:18" ht="19.5" thickBot="1" x14ac:dyDescent="0.35">
      <c r="A145" s="20"/>
      <c r="B145" s="8" t="str">
        <f>"Belanger"</f>
        <v>Belanger</v>
      </c>
      <c r="C145" s="8" t="str">
        <f>"Liana"</f>
        <v>Liana</v>
      </c>
      <c r="D145" s="8" t="str">
        <f t="shared" si="13"/>
        <v>1 Kyu (Ceinture marron)</v>
      </c>
      <c r="E145" s="8" t="s">
        <v>21</v>
      </c>
      <c r="F145" s="12" t="str">
        <f>"C009 Club de judo To Haku kan inc."</f>
        <v>C009 Club de judo To Haku kan inc.</v>
      </c>
      <c r="G145" s="16"/>
      <c r="H145" s="16" t="s">
        <v>17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7"/>
    </row>
    <row r="146" spans="1:18" ht="18.75" x14ac:dyDescent="0.3">
      <c r="A146" s="19">
        <v>71</v>
      </c>
      <c r="B146" s="10" t="str">
        <f>"Vanyukhin"</f>
        <v>Vanyukhin</v>
      </c>
      <c r="C146" s="10" t="str">
        <f>"Kirill"</f>
        <v>Kirill</v>
      </c>
      <c r="D146" s="10" t="str">
        <f t="shared" si="13"/>
        <v>1 Kyu (Ceinture marron)</v>
      </c>
      <c r="E146" s="13" t="s">
        <v>22</v>
      </c>
      <c r="F146" s="11" t="str">
        <f>"C032 Club de judo Saint-Hubert"</f>
        <v>C032 Club de judo Saint-Hubert</v>
      </c>
      <c r="G146" s="14"/>
      <c r="H146" s="14"/>
      <c r="I146" s="14"/>
      <c r="J146" s="14"/>
      <c r="K146" s="14"/>
      <c r="L146" s="14"/>
      <c r="M146" s="14" t="s">
        <v>17</v>
      </c>
      <c r="N146" s="14"/>
      <c r="O146" s="14"/>
      <c r="P146" s="14"/>
      <c r="Q146" s="14"/>
      <c r="R146" s="15"/>
    </row>
    <row r="147" spans="1:18" ht="19.5" thickBot="1" x14ac:dyDescent="0.35">
      <c r="A147" s="20"/>
      <c r="B147" s="8" t="str">
        <f>"Aubin"</f>
        <v>Aubin</v>
      </c>
      <c r="C147" s="8" t="str">
        <f>"Danick"</f>
        <v>Danick</v>
      </c>
      <c r="D147" s="8" t="str">
        <f t="shared" si="13"/>
        <v>1 Kyu (Ceinture marron)</v>
      </c>
      <c r="E147" s="8" t="s">
        <v>21</v>
      </c>
      <c r="F147" s="12" t="str">
        <f>"C032 Club de judo Saint-Hubert"</f>
        <v>C032 Club de judo Saint-Hubert</v>
      </c>
      <c r="G147" s="16"/>
      <c r="H147" s="16"/>
      <c r="I147" s="16"/>
      <c r="J147" s="16"/>
      <c r="K147" s="16"/>
      <c r="L147" s="16"/>
      <c r="M147" s="16" t="s">
        <v>17</v>
      </c>
      <c r="N147" s="16"/>
      <c r="O147" s="16"/>
      <c r="P147" s="16"/>
      <c r="Q147" s="16"/>
      <c r="R147" s="17"/>
    </row>
  </sheetData>
  <mergeCells count="75">
    <mergeCell ref="A1:Q1"/>
    <mergeCell ref="A3:A4"/>
    <mergeCell ref="M3:R3"/>
    <mergeCell ref="A6:A7"/>
    <mergeCell ref="A62:A6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8:A9"/>
    <mergeCell ref="A10:A11"/>
    <mergeCell ref="A66:A67"/>
    <mergeCell ref="A68:A69"/>
    <mergeCell ref="A36:A37"/>
    <mergeCell ref="A38:A39"/>
    <mergeCell ref="A70:A71"/>
    <mergeCell ref="A72:A73"/>
    <mergeCell ref="A16:A17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74:A75"/>
    <mergeCell ref="A76:A77"/>
    <mergeCell ref="A78:A79"/>
    <mergeCell ref="A80:A81"/>
    <mergeCell ref="A82:A83"/>
    <mergeCell ref="A98:A99"/>
    <mergeCell ref="A100:A101"/>
    <mergeCell ref="A102:A103"/>
    <mergeCell ref="A84:A85"/>
    <mergeCell ref="A86:A87"/>
    <mergeCell ref="A88:A89"/>
    <mergeCell ref="A90:A91"/>
    <mergeCell ref="A92:A93"/>
    <mergeCell ref="A124:A125"/>
    <mergeCell ref="A126:A127"/>
    <mergeCell ref="A128:A129"/>
    <mergeCell ref="H3:L3"/>
    <mergeCell ref="A114:A115"/>
    <mergeCell ref="A116:A117"/>
    <mergeCell ref="A118:A119"/>
    <mergeCell ref="A120:A121"/>
    <mergeCell ref="A122:A123"/>
    <mergeCell ref="A104:A105"/>
    <mergeCell ref="A106:A107"/>
    <mergeCell ref="A108:A109"/>
    <mergeCell ref="A110:A111"/>
    <mergeCell ref="A112:A113"/>
    <mergeCell ref="A94:A95"/>
    <mergeCell ref="A96:A97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38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Savoie</dc:creator>
  <cp:lastModifiedBy>François Noël</cp:lastModifiedBy>
  <dcterms:created xsi:type="dcterms:W3CDTF">2017-11-17T18:16:01Z</dcterms:created>
  <dcterms:modified xsi:type="dcterms:W3CDTF">2023-03-14T13:58:32Z</dcterms:modified>
</cp:coreProperties>
</file>